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3250" windowHeight="12570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 l="1"/>
  <c r="E57" i="1"/>
  <c r="G13" i="1" l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D17" i="1" l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<sst xmlns="http://schemas.openxmlformats.org/spreadsheetml/2006/main" count="308" uniqueCount="132">
  <si>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</si>
  <si>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</si>
  <si>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</si>
  <si>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</si>
  <si>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</si>
  <si>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</si>
  <si>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</si>
  <si>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</si>
  <si>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</si>
  <si>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</si>
  <si>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</si>
  <si>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</si>
  <si>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</si>
  <si>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</si>
  <si>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</si>
  <si>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</si>
  <si>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</si>
  <si>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</si>
  <si>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</si>
  <si>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</si>
  <si>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</si>
  <si>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</si>
  <si>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</si>
  <si>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</si>
  <si>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</si>
  <si>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</si>
  <si>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</si>
  <si>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</si>
  <si>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</si>
  <si>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</si>
  <si>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</si>
  <si>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</si>
  <si>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</si>
  <si>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</si>
  <si>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</si>
  <si>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</si>
  <si>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</si>
  <si>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</si>
  <si>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</si>
  <si>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</si>
  <si>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</si>
  <si>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</si>
  <si>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</si>
  <si>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</si>
  <si>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</si>
  <si>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</si>
  <si>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</si>
  <si>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</si>
  <si>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</si>
  <si>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</si>
  <si>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</si>
  <si>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</si>
  <si>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</si>
  <si>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</si>
  <si>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</si>
  <si>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</si>
  <si>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</si>
  <si>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</si>
  <si>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</si>
  <si>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</si>
  <si>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</si>
  <si>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</si>
  <si>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</si>
  <si>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</si>
  <si>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</si>
  <si>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</si>
  <si>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</si>
  <si>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</si>
  <si>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</si>
  <si>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</si>
  <si>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</si>
  <si>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</si>
  <si>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</si>
  <si>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</si>
  <si>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</si>
  <si>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</si>
  <si>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</si>
  <si>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</si>
  <si>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</si>
  <si>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</si>
  <si>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</si>
  <si>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</si>
  <si>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</si>
  <si>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</si>
  <si>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</si>
  <si>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</si>
  <si>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</si>
  <si>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</si>
  <si>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</si>
  <si>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</si>
  <si>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</si>
  <si>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</si>
  <si>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</si>
  <si>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</si>
  <si>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</si>
  <si>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</si>
  <si>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</si>
  <si>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</si>
  <si>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</si>
  <si>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</si>
  <si>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</si>
  <si>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</si>
  <si>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</si>
  <si>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</si>
  <si>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</si>
  <si>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</si>
  <si>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</si>
  <si>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</si>
  <si>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</si>
  <si>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</si>
  <si>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</si>
  <si>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</si>
  <si>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</si>
  <si>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</si>
  <si>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</si>
  <si>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</si>
  <si>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</si>
  <si>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</si>
  <si>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</si>
  <si>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</si>
  <si>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</si>
  <si>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</si>
  <si>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</si>
  <si>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</si>
  <si>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</si>
  <si>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MAYO 2022</t>
  </si>
  <si>
    <t>Mayo</t>
  </si>
  <si>
    <t>Enero - Mayo</t>
  </si>
  <si>
    <t>Grafico N° 11: Generación de energía eléctrica por Región, al mes de mayo 2022</t>
  </si>
  <si>
    <t>Cuadro N° 8: Producción de energía eléctrica nacional por zona del país, al mes de mayo</t>
  </si>
  <si>
    <t>3.2 Producción de energía eléctrica (GWh) por origen y zona al mes de mayo 2022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</si>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</sst>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167" fontId="0" fillId="68" borderId="62" xfId="0" applyNumberFormat="1" applyFill="1" applyBorder="1" applyAlignment="1">
      <alignment horizontal="center" vertic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2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167" fontId="0" fillId="68" borderId="83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167" fontId="99" fillId="0" borderId="28" xfId="0" applyNumberFormat="1" applyFont="1" applyBorder="1"/>
    <xf numFmtId="167" fontId="99" fillId="0" borderId="60" xfId="0" applyNumberFormat="1" applyFont="1" applyBorder="1"/>
    <xf numFmtId="9" fontId="96" fillId="0" borderId="32" xfId="33743" applyNumberFormat="1" applyFont="1" applyBorder="1" applyAlignment="1">
      <alignment horizontal="center"/>
    </xf>
    <xf numFmtId="3" fontId="0" fillId="68" borderId="113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4" fontId="99" fillId="0" borderId="78" xfId="0" applyNumberFormat="1" applyFont="1" applyBorder="1"/>
    <xf numFmtId="4" fontId="99" fillId="0" borderId="107" xfId="0" applyNumberFormat="1" applyFont="1" applyBorder="1"/>
    <xf numFmtId="178" fontId="96" fillId="68" borderId="34" xfId="33743" applyNumberFormat="1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Mayo 2022</a:t>
            </a:r>
          </a:p>
          <a:p>
            <a:pPr>
              <a:defRPr sz="800" b="1"/>
            </a:pPr>
            <a:r>
              <a:rPr lang="es-PE" sz="800" b="1"/>
              <a:t>Total : 4 905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58.666510361271101</c:v>
                </c:pt>
                <c:pt idx="1">
                  <c:v>99.891625750272425</c:v>
                </c:pt>
                <c:pt idx="2">
                  <c:v>2679.5837731952793</c:v>
                </c:pt>
                <c:pt idx="3">
                  <c:v>1833.1855889136159</c:v>
                </c:pt>
                <c:pt idx="4">
                  <c:v>234.08491926249999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2233.9267695283916</c:v>
                </c:pt>
                <c:pt idx="2" formatCode="_ * #,##0.00_ ;_ * \-#,##0.00_ ;_ * &quot;-&quot;??_ ;_ @_ ">
                  <c:v>6.4619999999999999E-3</c:v>
                </c:pt>
                <c:pt idx="3">
                  <c:v>1669.5783242124339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66.445447559999991</c:v>
                </c:pt>
                <c:pt idx="1">
                  <c:v>352.6533083935056</c:v>
                </c:pt>
                <c:pt idx="2">
                  <c:v>62.21943537249998</c:v>
                </c:pt>
                <c:pt idx="3">
                  <c:v>69.930861698161209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33.632426666666667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3903.5115557408253</c:v>
                </c:pt>
                <c:pt idx="1">
                  <c:v>551.24905302416676</c:v>
                </c:pt>
                <c:pt idx="2">
                  <c:v>417.01938205127959</c:v>
                </c:pt>
                <c:pt idx="3">
                  <c:v>33.632426666666667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ANCASH</c:v>
                </c:pt>
                <c:pt idx="6">
                  <c:v>HUANUCO</c:v>
                </c:pt>
                <c:pt idx="7">
                  <c:v>PIURA</c:v>
                </c:pt>
                <c:pt idx="8">
                  <c:v>CAJAMARCA</c:v>
                </c:pt>
                <c:pt idx="9">
                  <c:v>ICA</c:v>
                </c:pt>
                <c:pt idx="10">
                  <c:v>LA LIBERTAD</c:v>
                </c:pt>
                <c:pt idx="11">
                  <c:v>AREQUIPA</c:v>
                </c:pt>
                <c:pt idx="12">
                  <c:v>PUNO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UCAYALI</c:v>
                </c:pt>
                <c:pt idx="18">
                  <c:v>SAN MARTÍN</c:v>
                </c:pt>
                <c:pt idx="19">
                  <c:v>LAMBAYEQUE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1923.8288680808253</c:v>
                </c:pt>
                <c:pt idx="1">
                  <c:v>891.24224358666595</c:v>
                </c:pt>
                <c:pt idx="2">
                  <c:v>319.94331051166671</c:v>
                </c:pt>
                <c:pt idx="3">
                  <c:v>298.52652559666683</c:v>
                </c:pt>
                <c:pt idx="4">
                  <c:v>200.13147297166674</c:v>
                </c:pt>
                <c:pt idx="5">
                  <c:v>197.45662561249998</c:v>
                </c:pt>
                <c:pt idx="6">
                  <c:v>189.44061480083337</c:v>
                </c:pt>
                <c:pt idx="7">
                  <c:v>155.31510030416672</c:v>
                </c:pt>
                <c:pt idx="8">
                  <c:v>145.36364723999998</c:v>
                </c:pt>
                <c:pt idx="9">
                  <c:v>104.11272517249999</c:v>
                </c:pt>
                <c:pt idx="10">
                  <c:v>101.82241414000002</c:v>
                </c:pt>
                <c:pt idx="11">
                  <c:v>91.499591222500044</c:v>
                </c:pt>
                <c:pt idx="12">
                  <c:v>84.241808269166697</c:v>
                </c:pt>
                <c:pt idx="13">
                  <c:v>71.808345680000016</c:v>
                </c:pt>
                <c:pt idx="14">
                  <c:v>52.749426234999973</c:v>
                </c:pt>
                <c:pt idx="15">
                  <c:v>33.632426666666667</c:v>
                </c:pt>
                <c:pt idx="16">
                  <c:v>12.883011569999994</c:v>
                </c:pt>
                <c:pt idx="17">
                  <c:v>11.265021871666669</c:v>
                </c:pt>
                <c:pt idx="18">
                  <c:v>4.940679788779522</c:v>
                </c:pt>
                <c:pt idx="19">
                  <c:v>4.8065555783333336</c:v>
                </c:pt>
                <c:pt idx="20">
                  <c:v>4.6065439999999995</c:v>
                </c:pt>
                <c:pt idx="21">
                  <c:v>3.6704369999999997</c:v>
                </c:pt>
                <c:pt idx="22">
                  <c:v>1.1005480000000001</c:v>
                </c:pt>
                <c:pt idx="23">
                  <c:v>0.9254332500000001</c:v>
                </c:pt>
                <c:pt idx="24">
                  <c:v>9.9040333333333327E-2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2723.6215390000011</c:v>
                </c:pt>
                <c:pt idx="1">
                  <c:v>1874.9759779801395</c:v>
                </c:pt>
                <c:pt idx="2">
                  <c:v>160.20586699999996</c:v>
                </c:pt>
                <c:pt idx="3">
                  <c:v>57.149462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2738.2502835565506</c:v>
                </c:pt>
                <c:pt idx="1">
                  <c:v>1933.0772146638883</c:v>
                </c:pt>
                <c:pt idx="2">
                  <c:v>171.86548389000001</c:v>
                </c:pt>
                <c:pt idx="3">
                  <c:v>62.21943537249998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145.54959098013924</c:v>
                </c:pt>
                <c:pt idx="1">
                  <c:v>152.14142919996596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4670.4032550000002</c:v>
                </c:pt>
                <c:pt idx="1">
                  <c:v>4753.2709882829731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2514.5337140850011</c:v>
                </c:pt>
                <c:pt idx="1">
                  <c:v>2554.2688705015507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1840.5111629801395</c:v>
                </c:pt>
                <c:pt idx="1">
                  <c:v>1897.9217832930374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209.08782491500023</c:v>
                </c:pt>
                <c:pt idx="1">
                  <c:v>183.98141305499999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251.82014399999994</c:v>
                </c:pt>
                <c:pt idx="1">
                  <c:v>269.24035063335111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2738.2502835565506</c:v>
                </c:pt>
                <c:pt idx="1">
                  <c:v>1751.3843029541172</c:v>
                </c:pt>
                <c:pt idx="2">
                  <c:v>146.40615465415885</c:v>
                </c:pt>
                <c:pt idx="3">
                  <c:v>35.155431370851119</c:v>
                </c:pt>
                <c:pt idx="4">
                  <c:v>171.86548389000001</c:v>
                </c:pt>
                <c:pt idx="5">
                  <c:v>62.21943537249998</c:v>
                </c:pt>
                <c:pt idx="6" formatCode="#,##0.0">
                  <c:v>0.13132568476183931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4564.1327019801392</c:v>
                </c:pt>
                <c:pt idx="1">
                  <c:v>4636.1720668495882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251.82014399999994</c:v>
                </c:pt>
                <c:pt idx="1">
                  <c:v>269.24035063335111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71312368755E-2"/>
                  <c:y val="-3.0347747344302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30296600483626E-2"/>
                  <c:y val="-1.146628322825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5.2288747845650817E-2</c:v>
                </c:pt>
                <c:pt idx="1">
                  <c:v>5.4886384205694055E-2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4467361856936206"/>
                  <c:y val="-0.120828244954725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7.9053532788780842E-2"/>
                  <c:y val="0.290004533029600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2723.6215390000011</c:v>
                </c:pt>
                <c:pt idx="1">
                  <c:v>1745.788483</c:v>
                </c:pt>
                <c:pt idx="2">
                  <c:v>94.497382980138354</c:v>
                </c:pt>
                <c:pt idx="3" formatCode="#,##0.00">
                  <c:v>0.225297</c:v>
                </c:pt>
                <c:pt idx="4">
                  <c:v>34.464814999999987</c:v>
                </c:pt>
                <c:pt idx="5">
                  <c:v>160.20586699999996</c:v>
                </c:pt>
                <c:pt idx="6">
                  <c:v>57.149462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0617613973811689"/>
                  <c:y val="-0.13523810392525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3.5842562953690475E-2"/>
                  <c:y val="0.268780768143464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2738.2502835565506</c:v>
                </c:pt>
                <c:pt idx="1">
                  <c:v>1751.3843029541172</c:v>
                </c:pt>
                <c:pt idx="2">
                  <c:v>146.40615465415885</c:v>
                </c:pt>
                <c:pt idx="3" formatCode="#,##0.00">
                  <c:v>0.13132568476183931</c:v>
                </c:pt>
                <c:pt idx="4">
                  <c:v>35.155431370851119</c:v>
                </c:pt>
                <c:pt idx="5">
                  <c:v>171.86548389000001</c:v>
                </c:pt>
                <c:pt idx="6">
                  <c:v>62.21943537249998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105.42003633000002</c:v>
                </c:pt>
                <c:pt idx="1">
                  <c:v>151.67020563465292</c:v>
                </c:pt>
                <c:pt idx="2">
                  <c:v>0</c:v>
                </c:pt>
                <c:pt idx="3">
                  <c:v>159.92914008662666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mayo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38494" y="972764"/>
          <a:ext cx="6691032" cy="2328312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A4" zoomScaleNormal="120" zoomScaleSheetLayoutView="100" workbookViewId="0">
      <selection activeCell="B4" sqref="B4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7.285156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5.5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5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5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0" t="s">
        <v>64</v>
      </c>
      <c r="R11" s="142" t="s">
        <v>41</v>
      </c>
      <c r="S11" s="143">
        <f>E12</f>
        <v>58.666510361271101</v>
      </c>
    </row>
    <row r="12" spans="2:19" s="1" customFormat="1">
      <c r="B12" s="8"/>
      <c r="C12" s="133" t="s">
        <v>66</v>
      </c>
      <c r="D12" s="134">
        <v>2679.5837731952793</v>
      </c>
      <c r="E12" s="135">
        <v>58.666510361271101</v>
      </c>
      <c r="F12" s="136">
        <f>SUM(D12:E12)</f>
        <v>2738.2502835565506</v>
      </c>
      <c r="G12" s="327">
        <f>(F12/F$16)</f>
        <v>0.55821000366807072</v>
      </c>
      <c r="H12" s="9"/>
      <c r="I12" s="9"/>
      <c r="J12" s="9"/>
      <c r="K12" s="9"/>
      <c r="Q12" s="370"/>
      <c r="R12" s="142" t="s">
        <v>73</v>
      </c>
      <c r="S12" s="143">
        <f>E13</f>
        <v>99.891625750272425</v>
      </c>
    </row>
    <row r="13" spans="2:19" s="1" customFormat="1">
      <c r="B13" s="8"/>
      <c r="C13" s="133" t="s">
        <v>65</v>
      </c>
      <c r="D13" s="134">
        <v>1833.1855889136159</v>
      </c>
      <c r="E13" s="135">
        <v>99.891625750272425</v>
      </c>
      <c r="F13" s="136">
        <f>SUM(D13:E13)</f>
        <v>1933.0772146638883</v>
      </c>
      <c r="G13" s="327">
        <f>(F13/F$16)</f>
        <v>0.39407027384168186</v>
      </c>
      <c r="H13" s="9"/>
      <c r="I13" s="9"/>
      <c r="J13" s="9"/>
      <c r="K13" s="9"/>
      <c r="Q13" s="370" t="s">
        <v>88</v>
      </c>
      <c r="R13" s="142" t="s">
        <v>41</v>
      </c>
      <c r="S13" s="143">
        <f>D12</f>
        <v>2679.5837731952793</v>
      </c>
    </row>
    <row r="14" spans="2:19" s="1" customFormat="1">
      <c r="B14" s="8"/>
      <c r="C14" s="133" t="s">
        <v>67</v>
      </c>
      <c r="D14" s="134">
        <v>171.86548389000001</v>
      </c>
      <c r="E14" s="137"/>
      <c r="F14" s="136">
        <f>SUM(D14:E14)</f>
        <v>171.86548389000001</v>
      </c>
      <c r="G14" s="327">
        <f>(F14/F$16)</f>
        <v>3.5035888782249933E-2</v>
      </c>
      <c r="H14" s="9"/>
      <c r="I14" s="9"/>
      <c r="J14" s="9"/>
      <c r="K14" s="9"/>
      <c r="Q14" s="370"/>
      <c r="R14" s="142" t="s">
        <v>73</v>
      </c>
      <c r="S14" s="143">
        <f>D13</f>
        <v>1833.1855889136159</v>
      </c>
    </row>
    <row r="15" spans="2:19" s="1" customFormat="1" ht="13.5" thickBot="1">
      <c r="B15" s="8"/>
      <c r="C15" s="138" t="s">
        <v>5</v>
      </c>
      <c r="D15" s="139">
        <v>62.21943537249998</v>
      </c>
      <c r="E15" s="140"/>
      <c r="F15" s="141">
        <f>SUM(D15:E15)</f>
        <v>62.21943537249998</v>
      </c>
      <c r="G15" s="328">
        <f>(F15/F$16)</f>
        <v>1.2683833707997577E-2</v>
      </c>
      <c r="H15" s="9"/>
      <c r="I15" s="9"/>
      <c r="J15" s="9"/>
      <c r="K15" s="9"/>
      <c r="Q15" s="370"/>
      <c r="R15" s="142" t="s">
        <v>87</v>
      </c>
      <c r="S15" s="143">
        <f>SUM(D14:D15)</f>
        <v>234.08491926249999</v>
      </c>
    </row>
    <row r="16" spans="2:19" s="1" customFormat="1" ht="13.5" thickTop="1">
      <c r="B16" s="8"/>
      <c r="C16" s="241" t="s">
        <v>71</v>
      </c>
      <c r="D16" s="242">
        <f>SUM(D12:D15)</f>
        <v>4746.8542813713948</v>
      </c>
      <c r="E16" s="243">
        <f>SUM(E12:E15)</f>
        <v>158.55813611154352</v>
      </c>
      <c r="F16" s="244">
        <f>SUM(F12:F15)</f>
        <v>4905.4124174829385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0.96767689999999984</v>
      </c>
      <c r="E17" s="310">
        <f>E16/F16</f>
        <v>3.2323100000000153E-2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66" t="s">
        <v>112</v>
      </c>
      <c r="D23" s="367"/>
      <c r="E23" s="371" t="s">
        <v>126</v>
      </c>
      <c r="F23" s="372"/>
      <c r="G23" s="147" t="s">
        <v>74</v>
      </c>
      <c r="H23" s="373" t="s">
        <v>127</v>
      </c>
      <c r="I23" s="374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145.54959098013924</v>
      </c>
      <c r="S24" s="143">
        <f>F29</f>
        <v>152.14142919996596</v>
      </c>
    </row>
    <row r="25" spans="2:19" s="1" customFormat="1">
      <c r="B25" s="8"/>
      <c r="C25" s="362" t="s">
        <v>0</v>
      </c>
      <c r="D25" s="363"/>
      <c r="E25" s="187">
        <f>SUM(E26:E28)</f>
        <v>4670.4032550000002</v>
      </c>
      <c r="F25" s="188">
        <f>SUM(F26:F28)</f>
        <v>4753.2709882829731</v>
      </c>
      <c r="G25" s="189">
        <f>((F25/E25)-1)</f>
        <v>1.7743164510314324E-2</v>
      </c>
      <c r="H25" s="232">
        <f>SUM(H26:H28)</f>
        <v>22912.177001</v>
      </c>
      <c r="I25" s="188">
        <f>SUM(I26:I28)</f>
        <v>23569.537285557974</v>
      </c>
      <c r="J25" s="189">
        <f>((I25/H25)-1)</f>
        <v>2.8690433236845392E-2</v>
      </c>
      <c r="K25" s="9"/>
      <c r="Q25" s="142" t="s">
        <v>0</v>
      </c>
      <c r="R25" s="143">
        <f>E25</f>
        <v>4670.4032550000002</v>
      </c>
      <c r="S25" s="143">
        <f>F25</f>
        <v>4753.2709882829731</v>
      </c>
    </row>
    <row r="26" spans="2:19" s="1" customFormat="1">
      <c r="B26" s="8"/>
      <c r="C26" s="261" t="s">
        <v>62</v>
      </c>
      <c r="D26" s="270" t="s">
        <v>102</v>
      </c>
      <c r="E26" s="154">
        <v>4529.4868349999997</v>
      </c>
      <c r="F26" s="155">
        <v>4594.9549443675105</v>
      </c>
      <c r="G26" s="273">
        <f t="shared" ref="G26:G32" si="0">((F26/E26)-1)</f>
        <v>1.4453758616015611E-2</v>
      </c>
      <c r="H26" s="233">
        <v>22213.254710000001</v>
      </c>
      <c r="I26" s="155">
        <v>22749.75448163251</v>
      </c>
      <c r="J26" s="156">
        <f t="shared" ref="J26:J32" si="1">((I26/H26)-1)</f>
        <v>2.415223606970951E-2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98.084933999999976</v>
      </c>
      <c r="F27" s="265">
        <v>112.67038975821195</v>
      </c>
      <c r="G27" s="274">
        <f t="shared" si="0"/>
        <v>0.14870230486378255</v>
      </c>
      <c r="H27" s="266">
        <v>475.93460599999992</v>
      </c>
      <c r="I27" s="265">
        <v>582.89000976821194</v>
      </c>
      <c r="J27" s="274">
        <f t="shared" si="1"/>
        <v>0.22472709994156648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42.831485999999991</v>
      </c>
      <c r="F28" s="155">
        <v>45.645654157250831</v>
      </c>
      <c r="G28" s="273">
        <f t="shared" si="0"/>
        <v>6.5703257581369856E-2</v>
      </c>
      <c r="H28" s="233">
        <v>222.987685</v>
      </c>
      <c r="I28" s="155">
        <v>236.89279415725082</v>
      </c>
      <c r="J28" s="273">
        <f t="shared" si="1"/>
        <v>6.2358193266371709E-2</v>
      </c>
      <c r="K28" s="9"/>
    </row>
    <row r="29" spans="2:19" s="1" customFormat="1">
      <c r="B29" s="8"/>
      <c r="C29" s="362" t="s">
        <v>76</v>
      </c>
      <c r="D29" s="363"/>
      <c r="E29" s="187">
        <f>SUM(E30:E31)</f>
        <v>145.54959098013924</v>
      </c>
      <c r="F29" s="188">
        <f>SUM(F30:F31)</f>
        <v>152.14142919996596</v>
      </c>
      <c r="G29" s="189">
        <f t="shared" si="0"/>
        <v>4.5289294016128023E-2</v>
      </c>
      <c r="H29" s="232">
        <f>SUM(H30:H31)</f>
        <v>780.85890990069618</v>
      </c>
      <c r="I29" s="188">
        <f>SUM(I30:I31)</f>
        <v>790.21404905986662</v>
      </c>
      <c r="J29" s="189">
        <f t="shared" si="1"/>
        <v>1.1980575543871552E-2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39.957496999999996</v>
      </c>
      <c r="F30" s="155">
        <v>39.228947245673275</v>
      </c>
      <c r="G30" s="273">
        <f t="shared" si="0"/>
        <v>-1.8233117913434849E-2</v>
      </c>
      <c r="H30" s="233">
        <v>194.38882899999999</v>
      </c>
      <c r="I30" s="155">
        <v>202.7396682456733</v>
      </c>
      <c r="J30" s="273">
        <f t="shared" si="1"/>
        <v>4.2959460626584178E-2</v>
      </c>
      <c r="K30" s="9"/>
    </row>
    <row r="31" spans="2:19" s="1" customFormat="1" ht="13.5" thickBot="1">
      <c r="B31" s="8"/>
      <c r="C31" s="268" t="s">
        <v>64</v>
      </c>
      <c r="D31" s="269"/>
      <c r="E31" s="158">
        <v>105.59209398013925</v>
      </c>
      <c r="F31" s="159">
        <v>112.91248195429269</v>
      </c>
      <c r="G31" s="293">
        <f t="shared" si="0"/>
        <v>6.9327046166262507E-2</v>
      </c>
      <c r="H31" s="234">
        <v>586.47008090069619</v>
      </c>
      <c r="I31" s="159">
        <v>587.4743808141933</v>
      </c>
      <c r="J31" s="399">
        <f t="shared" si="1"/>
        <v>1.712448675906364E-3</v>
      </c>
      <c r="K31" s="9"/>
    </row>
    <row r="32" spans="2:19" s="1" customFormat="1" ht="14.25" thickTop="1" thickBot="1">
      <c r="B32" s="8"/>
      <c r="C32" s="364" t="s">
        <v>108</v>
      </c>
      <c r="D32" s="365"/>
      <c r="E32" s="190">
        <f>SUM(E25,E29)</f>
        <v>4815.9528459801395</v>
      </c>
      <c r="F32" s="191">
        <f>SUM(F25,F29)</f>
        <v>4905.4124174829394</v>
      </c>
      <c r="G32" s="192">
        <f t="shared" si="0"/>
        <v>1.8575674298279665E-2</v>
      </c>
      <c r="H32" s="235">
        <f>SUM(H25,H29)</f>
        <v>23693.035910900697</v>
      </c>
      <c r="I32" s="191">
        <f>SUM(I25,I29)</f>
        <v>24359.751334617838</v>
      </c>
      <c r="J32" s="192">
        <f t="shared" si="1"/>
        <v>2.813972114947072E-2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1" t="s">
        <v>126</v>
      </c>
      <c r="F38" s="372"/>
      <c r="G38" s="368" t="s">
        <v>74</v>
      </c>
      <c r="H38" s="373" t="s">
        <v>127</v>
      </c>
      <c r="I38" s="374"/>
      <c r="J38" s="368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69"/>
      <c r="H39" s="231">
        <v>2021</v>
      </c>
      <c r="I39" s="151">
        <v>2022</v>
      </c>
      <c r="J39" s="369"/>
      <c r="K39" s="9"/>
      <c r="Q39" s="142" t="s">
        <v>66</v>
      </c>
      <c r="R39" s="143">
        <f>SUM(E41,E46)</f>
        <v>2723.6215390000011</v>
      </c>
      <c r="S39" s="143">
        <f>SUM(F41,F46)</f>
        <v>2738.2502835565506</v>
      </c>
    </row>
    <row r="40" spans="2:19" s="1" customFormat="1">
      <c r="B40" s="8"/>
      <c r="C40" s="362" t="s">
        <v>68</v>
      </c>
      <c r="D40" s="363"/>
      <c r="E40" s="187">
        <f>SUM(E41:E44)</f>
        <v>4667.5292660000014</v>
      </c>
      <c r="F40" s="188">
        <f>SUM(F41:F44)</f>
        <v>4746.8542813713948</v>
      </c>
      <c r="G40" s="189">
        <f>((F40/E40)-1)</f>
        <v>1.699507616357665E-2</v>
      </c>
      <c r="H40" s="232">
        <f>SUM(H41:H44)</f>
        <v>22883.578144999996</v>
      </c>
      <c r="I40" s="188">
        <f>SUM(I41:I44)</f>
        <v>23535.384159646397</v>
      </c>
      <c r="J40" s="189">
        <f>((I40/H40)-1)</f>
        <v>2.8483570642505507E-2</v>
      </c>
      <c r="K40" s="9"/>
      <c r="Q40" s="142" t="s">
        <v>65</v>
      </c>
      <c r="R40" s="143">
        <f>SUM(E42,E47)</f>
        <v>1874.9759779801395</v>
      </c>
      <c r="S40" s="143">
        <f>SUM(F42,F47)</f>
        <v>1933.0772146638883</v>
      </c>
    </row>
    <row r="41" spans="2:19" s="1" customFormat="1">
      <c r="B41" s="8"/>
      <c r="C41" s="153" t="s">
        <v>66</v>
      </c>
      <c r="D41" s="128"/>
      <c r="E41" s="154">
        <v>2660.304982000001</v>
      </c>
      <c r="F41" s="155">
        <f>D12</f>
        <v>2679.5837731952793</v>
      </c>
      <c r="G41" s="273">
        <f t="shared" ref="G41:G48" si="2">((F41/E41)-1)</f>
        <v>7.2468349778394003E-3</v>
      </c>
      <c r="H41" s="233">
        <v>15423.220814999997</v>
      </c>
      <c r="I41" s="155">
        <v>15021.409368640283</v>
      </c>
      <c r="J41" s="273">
        <f t="shared" ref="J41:J48" si="3">((I41/H41)-1)</f>
        <v>-2.6052369422664867E-2</v>
      </c>
      <c r="K41" s="9"/>
      <c r="Q41" s="142" t="s">
        <v>67</v>
      </c>
      <c r="R41" s="143">
        <f>E43</f>
        <v>160.20586699999996</v>
      </c>
      <c r="S41" s="143">
        <f>F43</f>
        <v>171.86548389000001</v>
      </c>
    </row>
    <row r="42" spans="2:19" s="1" customFormat="1">
      <c r="B42" s="8"/>
      <c r="C42" s="153" t="s">
        <v>65</v>
      </c>
      <c r="D42" s="128"/>
      <c r="E42" s="154">
        <v>1789.8689550000001</v>
      </c>
      <c r="F42" s="155">
        <f>D13</f>
        <v>1833.1855889136159</v>
      </c>
      <c r="G42" s="273">
        <f t="shared" si="2"/>
        <v>2.4201008566918203E-2</v>
      </c>
      <c r="H42" s="233">
        <v>6391.2781169999998</v>
      </c>
      <c r="I42" s="155">
        <v>7421.1565403511158</v>
      </c>
      <c r="J42" s="273">
        <f t="shared" si="3"/>
        <v>0.161138101722059</v>
      </c>
      <c r="K42" s="9"/>
      <c r="Q42" s="142" t="s">
        <v>5</v>
      </c>
      <c r="R42" s="143">
        <f>E44</f>
        <v>57.149462</v>
      </c>
      <c r="S42" s="143">
        <f>F44</f>
        <v>62.21943537249998</v>
      </c>
    </row>
    <row r="43" spans="2:19" s="1" customFormat="1">
      <c r="B43" s="8"/>
      <c r="C43" s="153" t="s">
        <v>67</v>
      </c>
      <c r="D43" s="128"/>
      <c r="E43" s="154">
        <v>160.20586699999996</v>
      </c>
      <c r="F43" s="155">
        <f>D14</f>
        <v>171.86548389000001</v>
      </c>
      <c r="G43" s="273">
        <f t="shared" si="2"/>
        <v>7.2778963144964237E-2</v>
      </c>
      <c r="H43" s="233">
        <v>749.69807600000001</v>
      </c>
      <c r="I43" s="155">
        <v>767.97151928500011</v>
      </c>
      <c r="J43" s="273">
        <f t="shared" si="3"/>
        <v>2.4374403336470785E-2</v>
      </c>
      <c r="K43" s="9"/>
    </row>
    <row r="44" spans="2:19" s="1" customFormat="1">
      <c r="B44" s="8"/>
      <c r="C44" s="153" t="s">
        <v>5</v>
      </c>
      <c r="D44" s="128"/>
      <c r="E44" s="154">
        <v>57.149462</v>
      </c>
      <c r="F44" s="155">
        <f>D15</f>
        <v>62.21943537249998</v>
      </c>
      <c r="G44" s="359">
        <f t="shared" si="2"/>
        <v>8.8714279978698407E-2</v>
      </c>
      <c r="H44" s="233">
        <v>319.38113700000002</v>
      </c>
      <c r="I44" s="155">
        <v>324.84673136999993</v>
      </c>
      <c r="J44" s="156">
        <f t="shared" si="3"/>
        <v>1.7113078190337472E-2</v>
      </c>
      <c r="K44" s="9"/>
      <c r="Q44" s="142"/>
      <c r="R44" s="142"/>
      <c r="S44" s="142"/>
    </row>
    <row r="45" spans="2:19" s="1" customFormat="1">
      <c r="B45" s="8"/>
      <c r="C45" s="362" t="s">
        <v>64</v>
      </c>
      <c r="D45" s="363"/>
      <c r="E45" s="187">
        <f>SUM(E46:E47)</f>
        <v>148.42357998013932</v>
      </c>
      <c r="F45" s="188">
        <f>SUM(F46:F47)</f>
        <v>158.55813611154352</v>
      </c>
      <c r="G45" s="189">
        <f t="shared" si="2"/>
        <v>6.8281307678741632E-2</v>
      </c>
      <c r="H45" s="232">
        <f>SUM(H46:H47)</f>
        <v>809.45776590069624</v>
      </c>
      <c r="I45" s="188">
        <f>SUM(I46:I47)</f>
        <v>824.36717497144411</v>
      </c>
      <c r="J45" s="189">
        <f t="shared" si="3"/>
        <v>1.8419008006128612E-2</v>
      </c>
      <c r="K45" s="9"/>
    </row>
    <row r="46" spans="2:19" s="1" customFormat="1">
      <c r="B46" s="8"/>
      <c r="C46" s="153" t="s">
        <v>66</v>
      </c>
      <c r="D46" s="128"/>
      <c r="E46" s="154">
        <v>63.316557000000024</v>
      </c>
      <c r="F46" s="155">
        <f>E12</f>
        <v>58.666510361271101</v>
      </c>
      <c r="G46" s="156">
        <f t="shared" si="2"/>
        <v>-7.3441242844725751E-2</v>
      </c>
      <c r="H46" s="233">
        <v>302.16828800000002</v>
      </c>
      <c r="I46" s="155">
        <v>288.01231730061465</v>
      </c>
      <c r="J46" s="156">
        <f t="shared" si="3"/>
        <v>-4.6847969365287456E-2</v>
      </c>
      <c r="K46" s="9"/>
    </row>
    <row r="47" spans="2:19" s="1" customFormat="1" ht="13.5" thickBot="1">
      <c r="B47" s="8"/>
      <c r="C47" s="157" t="s">
        <v>65</v>
      </c>
      <c r="D47" s="128"/>
      <c r="E47" s="158">
        <v>85.107022980139305</v>
      </c>
      <c r="F47" s="159">
        <f>E13</f>
        <v>99.891625750272425</v>
      </c>
      <c r="G47" s="293">
        <f t="shared" si="2"/>
        <v>0.17371777618849715</v>
      </c>
      <c r="H47" s="234">
        <v>507.28947790069623</v>
      </c>
      <c r="I47" s="159">
        <v>536.35485767082946</v>
      </c>
      <c r="J47" s="160">
        <f t="shared" si="3"/>
        <v>5.7295451682565446E-2</v>
      </c>
      <c r="K47" s="9"/>
    </row>
    <row r="48" spans="2:19" s="1" customFormat="1" ht="14.25" thickTop="1" thickBot="1">
      <c r="B48" s="8"/>
      <c r="C48" s="364" t="s">
        <v>108</v>
      </c>
      <c r="D48" s="365"/>
      <c r="E48" s="190">
        <f>SUM(E40,E45)</f>
        <v>4815.9528459801404</v>
      </c>
      <c r="F48" s="191">
        <f>SUM(F40,F45)</f>
        <v>4905.4124174829385</v>
      </c>
      <c r="G48" s="192">
        <f t="shared" si="2"/>
        <v>1.8575674298279221E-2</v>
      </c>
      <c r="H48" s="235">
        <f>SUM(H40,H45)</f>
        <v>23693.035910900693</v>
      </c>
      <c r="I48" s="191">
        <f>SUM(I40,I45)</f>
        <v>24359.751334617842</v>
      </c>
      <c r="J48" s="192">
        <f t="shared" si="3"/>
        <v>2.8139721149470942E-2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5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1" t="s">
        <v>126</v>
      </c>
      <c r="F54" s="372"/>
      <c r="G54" s="368" t="s">
        <v>74</v>
      </c>
      <c r="H54" s="373" t="s">
        <v>127</v>
      </c>
      <c r="I54" s="374"/>
      <c r="J54" s="368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69"/>
      <c r="H55" s="231">
        <v>2021</v>
      </c>
      <c r="I55" s="151">
        <v>2022</v>
      </c>
      <c r="J55" s="369"/>
      <c r="K55" s="9"/>
      <c r="L55" s="254"/>
      <c r="M55" s="254"/>
    </row>
    <row r="56" spans="2:23" s="1" customFormat="1">
      <c r="B56" s="8"/>
      <c r="C56" s="362" t="s">
        <v>68</v>
      </c>
      <c r="D56" s="363"/>
      <c r="E56" s="187">
        <f>SUM(E57:E60)</f>
        <v>4667.5292660000014</v>
      </c>
      <c r="F56" s="188">
        <f>SUM(F57:F60)</f>
        <v>4746.8542813713957</v>
      </c>
      <c r="G56" s="189">
        <f>((F56/E56)-1)</f>
        <v>1.6995076163576872E-2</v>
      </c>
      <c r="H56" s="232">
        <f>SUM(H57:H60)</f>
        <v>22883.578144999999</v>
      </c>
      <c r="I56" s="188">
        <f>SUM(I57:I60)</f>
        <v>23535.384159646397</v>
      </c>
      <c r="J56" s="189">
        <f>((I56/H56)-1)</f>
        <v>2.8483570642505285E-2</v>
      </c>
      <c r="K56" s="9"/>
    </row>
    <row r="57" spans="2:23" s="1" customFormat="1" ht="25.5">
      <c r="B57" s="8"/>
      <c r="C57" s="376" t="s">
        <v>78</v>
      </c>
      <c r="D57" s="275" t="s">
        <v>79</v>
      </c>
      <c r="E57" s="317">
        <f>SUM(E43:E44)+23.91741</f>
        <v>241.27273899999994</v>
      </c>
      <c r="F57" s="318">
        <f>SUM(F43:F44)+27.2214287921692</f>
        <v>261.30634805466917</v>
      </c>
      <c r="G57" s="167">
        <f t="shared" ref="G57:G65" si="4">((F57/E57)-1)</f>
        <v>8.3033040275094061E-2</v>
      </c>
      <c r="H57" s="319">
        <f>SUM(H43:H44)+120.019208</f>
        <v>1189.0984209999999</v>
      </c>
      <c r="I57" s="318">
        <f>SUM(I43:I44)+113.541775579669</f>
        <v>1206.3600262346692</v>
      </c>
      <c r="J57" s="167">
        <f t="shared" ref="J57:J65" si="5">((I57/H57)-1)</f>
        <v>1.4516548781683403E-2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5">
      <c r="B58" s="8"/>
      <c r="C58" s="377"/>
      <c r="D58" s="276" t="s">
        <v>110</v>
      </c>
      <c r="E58" s="264">
        <v>209.08782491500023</v>
      </c>
      <c r="F58" s="322">
        <v>183.98141305499999</v>
      </c>
      <c r="G58" s="274">
        <f t="shared" si="4"/>
        <v>-0.12007591484681934</v>
      </c>
      <c r="H58" s="266">
        <v>1191.3876939424997</v>
      </c>
      <c r="I58" s="265">
        <v>1122.1956454900007</v>
      </c>
      <c r="J58" s="274">
        <f t="shared" si="5"/>
        <v>-5.8076853407416862E-2</v>
      </c>
      <c r="K58" s="9"/>
      <c r="L58" s="254"/>
      <c r="M58" s="254"/>
      <c r="Q58" s="370" t="s">
        <v>80</v>
      </c>
      <c r="R58" s="142" t="s">
        <v>66</v>
      </c>
      <c r="T58" s="143">
        <f>SUM(E60,E64)</f>
        <v>2514.5337140850011</v>
      </c>
      <c r="U58" s="143">
        <f>SUM(F60,F64)</f>
        <v>2554.2688705015507</v>
      </c>
      <c r="V58" s="144">
        <f t="shared" ref="V58:W61" si="6">T58/T$64</f>
        <v>0.52212590000416514</v>
      </c>
      <c r="W58" s="144">
        <f t="shared" si="6"/>
        <v>0.52070420448199439</v>
      </c>
    </row>
    <row r="59" spans="2:23" s="1" customFormat="1">
      <c r="B59" s="8"/>
      <c r="C59" s="375" t="s">
        <v>80</v>
      </c>
      <c r="D59" s="277" t="s">
        <v>81</v>
      </c>
      <c r="E59" s="154">
        <f>SUM(E42:E44)-E57</f>
        <v>1765.9515450000001</v>
      </c>
      <c r="F59" s="155">
        <f>SUM(F42:F44)-F57</f>
        <v>1805.9641601214469</v>
      </c>
      <c r="G59" s="273">
        <f t="shared" si="4"/>
        <v>2.2657821634311404E-2</v>
      </c>
      <c r="H59" s="233">
        <f>SUM(H42:H44)-H57</f>
        <v>6271.2589090000001</v>
      </c>
      <c r="I59" s="155">
        <f>SUM(I42:I44)-I57</f>
        <v>7307.614764771447</v>
      </c>
      <c r="J59" s="273">
        <f t="shared" si="5"/>
        <v>0.16525483492383852</v>
      </c>
      <c r="K59" s="9"/>
      <c r="Q59" s="370"/>
      <c r="R59" s="142" t="s">
        <v>65</v>
      </c>
      <c r="T59" s="143">
        <f>SUM(E59,E63)</f>
        <v>1840.5111629801395</v>
      </c>
      <c r="U59" s="143">
        <f>SUM(F59,F63)</f>
        <v>1897.9217832930374</v>
      </c>
      <c r="V59" s="144">
        <f t="shared" si="6"/>
        <v>0.38216968102509724</v>
      </c>
      <c r="W59" s="144">
        <f t="shared" si="6"/>
        <v>0.38690361212623531</v>
      </c>
    </row>
    <row r="60" spans="2:23" s="1" customFormat="1">
      <c r="B60" s="8"/>
      <c r="C60" s="375"/>
      <c r="D60" s="278" t="s">
        <v>41</v>
      </c>
      <c r="E60" s="154">
        <f>E41-E58</f>
        <v>2451.217157085001</v>
      </c>
      <c r="F60" s="155">
        <f>F41-F58</f>
        <v>2495.6023601402794</v>
      </c>
      <c r="G60" s="156">
        <f t="shared" si="4"/>
        <v>1.8107413668751127E-2</v>
      </c>
      <c r="H60" s="233">
        <f>H41-H58</f>
        <v>14231.833121057498</v>
      </c>
      <c r="I60" s="155">
        <f>I41-I58</f>
        <v>13899.213723150282</v>
      </c>
      <c r="J60" s="273">
        <f t="shared" si="5"/>
        <v>-2.3371507737472763E-2</v>
      </c>
      <c r="K60" s="9"/>
      <c r="Q60" s="370" t="s">
        <v>78</v>
      </c>
      <c r="R60" s="142" t="s">
        <v>66</v>
      </c>
      <c r="T60" s="143">
        <f>E58</f>
        <v>209.08782491500023</v>
      </c>
      <c r="U60" s="143">
        <f>F58</f>
        <v>183.98141305499999</v>
      </c>
      <c r="V60" s="144">
        <f t="shared" si="6"/>
        <v>4.3415671125086937E-2</v>
      </c>
      <c r="W60" s="144">
        <f t="shared" si="6"/>
        <v>3.7505799186076258E-2</v>
      </c>
    </row>
    <row r="61" spans="2:23" s="1" customFormat="1">
      <c r="B61" s="8"/>
      <c r="C61" s="362" t="s">
        <v>64</v>
      </c>
      <c r="D61" s="363"/>
      <c r="E61" s="187">
        <f>SUM(E62:E64)</f>
        <v>148.42357998013932</v>
      </c>
      <c r="F61" s="188">
        <f>SUM(F62:F64)</f>
        <v>158.55813611154352</v>
      </c>
      <c r="G61" s="189">
        <f t="shared" si="4"/>
        <v>6.8281307678741632E-2</v>
      </c>
      <c r="H61" s="232">
        <f>SUM(H62:H64)</f>
        <v>809.45776590069624</v>
      </c>
      <c r="I61" s="188">
        <f>SUM(I62:I64)</f>
        <v>824.36717497144411</v>
      </c>
      <c r="J61" s="189">
        <f t="shared" si="5"/>
        <v>1.8419008006128612E-2</v>
      </c>
      <c r="K61" s="9"/>
      <c r="Q61" s="370"/>
      <c r="R61" s="142" t="s">
        <v>89</v>
      </c>
      <c r="T61" s="143">
        <f>E57+E62</f>
        <v>251.82014399999994</v>
      </c>
      <c r="U61" s="143">
        <f>F57+F62</f>
        <v>269.24035063335111</v>
      </c>
      <c r="V61" s="144">
        <f t="shared" si="6"/>
        <v>5.228874784565081E-2</v>
      </c>
      <c r="W61" s="144">
        <f t="shared" si="6"/>
        <v>5.4886384205694055E-2</v>
      </c>
    </row>
    <row r="62" spans="2:23" s="1" customFormat="1">
      <c r="B62" s="8"/>
      <c r="C62" s="305" t="s">
        <v>78</v>
      </c>
      <c r="D62" s="306" t="s">
        <v>114</v>
      </c>
      <c r="E62" s="360">
        <v>10.547404999999999</v>
      </c>
      <c r="F62" s="320">
        <v>7.9340025786819695</v>
      </c>
      <c r="G62" s="307">
        <f t="shared" si="4"/>
        <v>-0.24777681537003937</v>
      </c>
      <c r="H62" s="321">
        <v>69.100126999999986</v>
      </c>
      <c r="I62" s="320">
        <v>55.553786578681965</v>
      </c>
      <c r="J62" s="307">
        <f t="shared" si="5"/>
        <v>-0.19603929847072532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78" t="s">
        <v>80</v>
      </c>
      <c r="D63" s="277" t="s">
        <v>81</v>
      </c>
      <c r="E63" s="154">
        <f>E47-E62</f>
        <v>74.559617980139308</v>
      </c>
      <c r="F63" s="155">
        <f>F47-F62</f>
        <v>91.957623171590456</v>
      </c>
      <c r="G63" s="273">
        <f t="shared" ref="G63" si="7">((F63/E63)-1)</f>
        <v>0.23334353987818868</v>
      </c>
      <c r="H63" s="233">
        <f>H47-H62</f>
        <v>438.18935090069624</v>
      </c>
      <c r="I63" s="155">
        <f>I47-I62</f>
        <v>480.80107109214748</v>
      </c>
      <c r="J63" s="273">
        <f t="shared" ref="J63" si="8">((I63/H63)-1)</f>
        <v>9.7244992613040537E-2</v>
      </c>
      <c r="K63" s="9"/>
      <c r="Q63" s="142"/>
      <c r="R63" s="142"/>
      <c r="T63" s="142"/>
      <c r="U63" s="142"/>
      <c r="V63" s="142"/>
      <c r="W63" s="142"/>
    </row>
    <row r="64" spans="2:23" s="1" customFormat="1" ht="13.5" thickBot="1">
      <c r="B64" s="8"/>
      <c r="C64" s="379"/>
      <c r="D64" s="279" t="s">
        <v>41</v>
      </c>
      <c r="E64" s="158">
        <f>E46</f>
        <v>63.316557000000024</v>
      </c>
      <c r="F64" s="159">
        <f>F46</f>
        <v>58.666510361271101</v>
      </c>
      <c r="G64" s="160">
        <f t="shared" si="4"/>
        <v>-7.3441242844725751E-2</v>
      </c>
      <c r="H64" s="234">
        <f>H46</f>
        <v>302.16828800000002</v>
      </c>
      <c r="I64" s="159">
        <f>I46</f>
        <v>288.01231730061465</v>
      </c>
      <c r="J64" s="160">
        <f t="shared" si="5"/>
        <v>-4.6847969365287456E-2</v>
      </c>
      <c r="K64" s="9"/>
      <c r="Q64" s="142"/>
      <c r="R64" s="142"/>
      <c r="T64" s="143">
        <f>SUM(T58:T61)</f>
        <v>4815.9528459801404</v>
      </c>
      <c r="U64" s="143">
        <f>SUM(U58:U61)</f>
        <v>4905.4124174829394</v>
      </c>
      <c r="V64" s="142"/>
      <c r="W64" s="142"/>
    </row>
    <row r="65" spans="2:22" s="1" customFormat="1" ht="14.25" thickTop="1" thickBot="1">
      <c r="B65" s="8"/>
      <c r="C65" s="364" t="s">
        <v>108</v>
      </c>
      <c r="D65" s="365"/>
      <c r="E65" s="190">
        <f>SUM(E56,E61)</f>
        <v>4815.9528459801404</v>
      </c>
      <c r="F65" s="191">
        <f>SUM(F56,F61)</f>
        <v>4905.4124174829394</v>
      </c>
      <c r="G65" s="192">
        <f t="shared" si="4"/>
        <v>1.8575674298279443E-2</v>
      </c>
      <c r="H65" s="235">
        <f>SUM(H56,H61)</f>
        <v>23693.035910900697</v>
      </c>
      <c r="I65" s="191">
        <f>SUM(I56,I61)</f>
        <v>24359.751334617842</v>
      </c>
      <c r="J65" s="192">
        <f t="shared" si="5"/>
        <v>2.8139721149470942E-2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zoomScaleNormal="100" zoomScaleSheetLayoutView="100" workbookViewId="0">
      <selection activeCell="B2" sqref="B2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2738.2502835565506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1751.3843029541172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146.40615465415885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35.155431370851119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171.86548389000001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62.21943537249998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0.13132568476183931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4905.4124174829394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82" t="s">
        <v>126</v>
      </c>
      <c r="E26" s="382"/>
      <c r="F26" s="383" t="s">
        <v>74</v>
      </c>
      <c r="G26" s="385" t="s">
        <v>127</v>
      </c>
      <c r="H26" s="386"/>
      <c r="I26" s="383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84"/>
      <c r="G27" s="236">
        <v>2021</v>
      </c>
      <c r="H27" s="95">
        <v>2022</v>
      </c>
      <c r="I27" s="384"/>
      <c r="J27" s="20"/>
      <c r="K27" s="54"/>
      <c r="L27" s="54"/>
      <c r="M27" s="55" t="s">
        <v>85</v>
      </c>
      <c r="N27" s="70">
        <f t="shared" ref="N27:O29" si="1">D28</f>
        <v>2723.6215390000011</v>
      </c>
      <c r="O27" s="70">
        <f t="shared" si="1"/>
        <v>2738.2502835565506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2723.6215390000011</v>
      </c>
      <c r="E28" s="166">
        <f>'Resumen (G)'!F41+'Resumen (G)'!F46</f>
        <v>2738.2502835565506</v>
      </c>
      <c r="F28" s="167">
        <f>+E28/D28-1</f>
        <v>5.3710636177155546E-3</v>
      </c>
      <c r="G28" s="249">
        <f>'Resumen (G)'!H41+'Resumen (G)'!H46</f>
        <v>15725.389102999998</v>
      </c>
      <c r="H28" s="166">
        <f>'Resumen (G)'!I41+'Resumen (G)'!I46</f>
        <v>15309.421685940897</v>
      </c>
      <c r="I28" s="167">
        <f>+H28/G28-1</f>
        <v>-2.6451963403547496E-2</v>
      </c>
      <c r="J28" s="294"/>
      <c r="K28" s="54"/>
      <c r="L28" s="54"/>
      <c r="M28" s="55" t="s">
        <v>2</v>
      </c>
      <c r="N28" s="70">
        <f t="shared" si="1"/>
        <v>1745.788483</v>
      </c>
      <c r="O28" s="70">
        <f t="shared" si="1"/>
        <v>1751.3843029541172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1745.788483</v>
      </c>
      <c r="E29" s="170">
        <v>1751.3843029541172</v>
      </c>
      <c r="F29" s="356">
        <f t="shared" ref="F29:F35" si="2">+E29/D29-1</f>
        <v>3.2053252777226593E-3</v>
      </c>
      <c r="G29" s="250">
        <v>6307.5070880000003</v>
      </c>
      <c r="H29" s="170">
        <v>7211.9844780116164</v>
      </c>
      <c r="I29" s="171">
        <f t="shared" ref="I29:I35" si="3">+H29/G29-1</f>
        <v>0.14339696767560994</v>
      </c>
      <c r="J29" s="256"/>
      <c r="K29" s="257"/>
      <c r="L29" s="54"/>
      <c r="M29" s="55" t="s">
        <v>84</v>
      </c>
      <c r="N29" s="70">
        <f t="shared" si="1"/>
        <v>94.497382980138354</v>
      </c>
      <c r="O29" s="70">
        <f t="shared" si="1"/>
        <v>146.40615465415885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94.497382980138354</v>
      </c>
      <c r="E30" s="170">
        <f>'Resumen (G)'!F32-SUM('TipoRecurso (G)'!E28:E29,'TipoRecurso (G)'!E31:E34)</f>
        <v>146.40615465415885</v>
      </c>
      <c r="F30" s="171">
        <f t="shared" si="2"/>
        <v>0.54931438349917894</v>
      </c>
      <c r="G30" s="250">
        <f>'Resumen (G)'!H32-SUM('TipoRecurso (G)'!G28:G29,'TipoRecurso (G)'!G31:G34)</f>
        <v>400.82288190069812</v>
      </c>
      <c r="H30" s="170">
        <f>'Resumen (G)'!I32-SUM('TipoRecurso (G)'!H28:H29,'TipoRecurso (G)'!H31:H34)</f>
        <v>575.63203216721013</v>
      </c>
      <c r="I30" s="171">
        <f t="shared" si="3"/>
        <v>0.43612567585355588</v>
      </c>
      <c r="J30" s="294"/>
      <c r="K30" s="54"/>
      <c r="L30" s="54"/>
      <c r="M30" s="55" t="s">
        <v>4</v>
      </c>
      <c r="N30" s="98">
        <f>D34</f>
        <v>0.225297</v>
      </c>
      <c r="O30" s="98">
        <f>E34</f>
        <v>0.13132568476183931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34.464814999999987</v>
      </c>
      <c r="E31" s="170">
        <f>'Resumen (G)'!F57+'Resumen (G)'!F62-SUM('TipoRecurso (G)'!E32:E33)</f>
        <v>35.155431370851119</v>
      </c>
      <c r="F31" s="171">
        <f t="shared" si="2"/>
        <v>2.0038301985695561E-2</v>
      </c>
      <c r="G31" s="250">
        <f>'Resumen (G)'!H57+'Resumen (G)'!H62-SUM('TipoRecurso (G)'!G32:G33)</f>
        <v>189.11933499999986</v>
      </c>
      <c r="H31" s="170">
        <f>'Resumen (G)'!I57+'Resumen (G)'!I62-SUM('TipoRecurso (G)'!H32:H33)</f>
        <v>169.09556215835096</v>
      </c>
      <c r="I31" s="171">
        <f t="shared" si="3"/>
        <v>-0.10587903580376334</v>
      </c>
      <c r="J31" s="20"/>
      <c r="K31" s="54"/>
      <c r="L31" s="54"/>
      <c r="M31" s="55" t="s">
        <v>90</v>
      </c>
      <c r="N31" s="70">
        <f t="shared" ref="N31:O33" si="4">D31</f>
        <v>34.464814999999987</v>
      </c>
      <c r="O31" s="70">
        <f t="shared" si="4"/>
        <v>35.155431370851119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160.20586699999996</v>
      </c>
      <c r="E32" s="170">
        <f>'Resumen (G)'!F43</f>
        <v>171.86548389000001</v>
      </c>
      <c r="F32" s="171">
        <f t="shared" si="2"/>
        <v>7.2778963144964237E-2</v>
      </c>
      <c r="G32" s="250">
        <f>'Resumen (G)'!H43</f>
        <v>749.69807600000001</v>
      </c>
      <c r="H32" s="170">
        <f>'Resumen (G)'!I43</f>
        <v>767.97151928500011</v>
      </c>
      <c r="I32" s="171">
        <f t="shared" si="3"/>
        <v>2.4374403336470785E-2</v>
      </c>
      <c r="J32" s="20"/>
      <c r="K32" s="54"/>
      <c r="L32" s="54"/>
      <c r="M32" s="55" t="s">
        <v>14</v>
      </c>
      <c r="N32" s="70">
        <f t="shared" si="4"/>
        <v>160.20586699999996</v>
      </c>
      <c r="O32" s="70">
        <f t="shared" si="4"/>
        <v>171.86548389000001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57.149462</v>
      </c>
      <c r="E33" s="170">
        <f>'Resumen (G)'!F44</f>
        <v>62.21943537249998</v>
      </c>
      <c r="F33" s="171">
        <f t="shared" si="2"/>
        <v>8.8714279978698407E-2</v>
      </c>
      <c r="G33" s="250">
        <f>'Resumen (G)'!H44</f>
        <v>319.38113700000002</v>
      </c>
      <c r="H33" s="170">
        <f>'Resumen (G)'!I44</f>
        <v>324.84673136999993</v>
      </c>
      <c r="I33" s="356">
        <f t="shared" si="3"/>
        <v>1.7113078190337472E-2</v>
      </c>
      <c r="J33" s="20"/>
      <c r="K33" s="54"/>
      <c r="L33" s="54"/>
      <c r="M33" s="55" t="s">
        <v>5</v>
      </c>
      <c r="N33" s="70">
        <f t="shared" si="4"/>
        <v>57.149462</v>
      </c>
      <c r="O33" s="70">
        <f t="shared" si="4"/>
        <v>62.21943537249998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2" t="s">
        <v>4</v>
      </c>
      <c r="D34" s="361">
        <v>0.225297</v>
      </c>
      <c r="E34" s="355">
        <v>0.13132568476183931</v>
      </c>
      <c r="F34" s="173">
        <f t="shared" si="2"/>
        <v>-0.41709971831919945</v>
      </c>
      <c r="G34" s="354">
        <v>1.11829</v>
      </c>
      <c r="H34" s="355">
        <v>0.79932568476183929</v>
      </c>
      <c r="I34" s="173">
        <f t="shared" si="3"/>
        <v>-0.28522504470053445</v>
      </c>
      <c r="J34" s="20"/>
      <c r="K34" s="54"/>
      <c r="L34" s="54"/>
      <c r="M34" s="96"/>
      <c r="N34" s="97">
        <f>SUM(N27:N33)</f>
        <v>4815.9528459801395</v>
      </c>
      <c r="O34" s="97">
        <f>SUM(O27:O33)</f>
        <v>4905.4124174829394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4815.9528459801395</v>
      </c>
      <c r="E35" s="299">
        <f>SUM(E28:E34)</f>
        <v>4905.4124174829394</v>
      </c>
      <c r="F35" s="300">
        <f t="shared" si="2"/>
        <v>1.8575674298279665E-2</v>
      </c>
      <c r="G35" s="301">
        <f>SUM(G28:G34)</f>
        <v>23693.035910900697</v>
      </c>
      <c r="H35" s="299">
        <f>SUM(H28:H34)</f>
        <v>24359.751334617838</v>
      </c>
      <c r="I35" s="302">
        <f t="shared" si="3"/>
        <v>2.813972114947072E-2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0.56554157112925207</v>
      </c>
      <c r="N40" s="227">
        <f t="shared" si="5"/>
        <v>0.55821000366807061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0.36250115788762427</v>
      </c>
      <c r="N41" s="227">
        <f t="shared" si="5"/>
        <v>0.35703100043375879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1.9621741740892464E-2</v>
      </c>
      <c r="N42" s="227">
        <f t="shared" si="5"/>
        <v>2.9845840103548855E-2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4.6781396580337097E-5</v>
      </c>
      <c r="N43" s="227">
        <f t="shared" si="5"/>
        <v>2.6771588927730776E-5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7.1563854759848109E-3</v>
      </c>
      <c r="N44" s="227">
        <f t="shared" si="5"/>
        <v>7.1666617154465557E-3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3.3265663540232394E-2</v>
      </c>
      <c r="N45" s="227">
        <f t="shared" si="5"/>
        <v>3.5035888782249926E-2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1.1866698829433614E-2</v>
      </c>
      <c r="N46" s="227">
        <f t="shared" si="5"/>
        <v>1.2683833707997576E-2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</v>
      </c>
      <c r="N49" s="228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0" t="s">
        <v>91</v>
      </c>
      <c r="D53" s="382" t="s">
        <v>126</v>
      </c>
      <c r="E53" s="382"/>
      <c r="F53" s="383" t="s">
        <v>74</v>
      </c>
      <c r="G53" s="385" t="s">
        <v>127</v>
      </c>
      <c r="H53" s="386"/>
      <c r="I53" s="383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1"/>
      <c r="D54" s="94">
        <v>2021</v>
      </c>
      <c r="E54" s="95">
        <v>2022</v>
      </c>
      <c r="F54" s="384"/>
      <c r="G54" s="236">
        <v>2021</v>
      </c>
      <c r="H54" s="95">
        <v>2022</v>
      </c>
      <c r="I54" s="384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4564.1327019801392</v>
      </c>
      <c r="E55" s="286">
        <f>SUM(E28:E30,E34)</f>
        <v>4636.1720668495882</v>
      </c>
      <c r="F55" s="287">
        <f>+E55/D55-1</f>
        <v>1.5783801561728206E-2</v>
      </c>
      <c r="G55" s="288">
        <f>SUM(G28:G30,G34)</f>
        <v>22434.837362900696</v>
      </c>
      <c r="H55" s="286">
        <f>SUM(H28:H30,H34)</f>
        <v>23097.837521804486</v>
      </c>
      <c r="I55" s="287">
        <f>+H55/G55-1</f>
        <v>2.955226053923421E-2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9" t="s">
        <v>104</v>
      </c>
      <c r="D56" s="349">
        <f>SUM(D31:D33)</f>
        <v>251.82014399999994</v>
      </c>
      <c r="E56" s="290">
        <f>SUM(E31:E33)</f>
        <v>269.24035063335111</v>
      </c>
      <c r="F56" s="352">
        <f>+E56/D56-1</f>
        <v>6.9177176839956056E-2</v>
      </c>
      <c r="G56" s="351">
        <f>SUM(G31:G33)</f>
        <v>1258.1985479999998</v>
      </c>
      <c r="H56" s="346">
        <f>SUM(H31:H33)</f>
        <v>1261.9138128133509</v>
      </c>
      <c r="I56" s="350">
        <f>+H56/G56-1</f>
        <v>2.9528446199980074E-3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4815.9528459801395</v>
      </c>
      <c r="E57" s="100">
        <f>SUM(E55:E56)</f>
        <v>4905.4124174829394</v>
      </c>
      <c r="F57" s="101">
        <f>+E57/D57-1</f>
        <v>1.8575674298279665E-2</v>
      </c>
      <c r="G57" s="251">
        <f>SUM(G55:G56)</f>
        <v>23693.035910900697</v>
      </c>
      <c r="H57" s="100">
        <f>SUM(H55:H56)</f>
        <v>24359.751334617838</v>
      </c>
      <c r="I57" s="101">
        <f>+H57/G57-1</f>
        <v>2.813972114947072E-2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2">
        <f>+D56/D57</f>
        <v>5.2288747845650817E-2</v>
      </c>
      <c r="E58" s="103">
        <f>+E56/E57</f>
        <v>5.4886384205694055E-2</v>
      </c>
      <c r="F58" s="104"/>
      <c r="G58" s="252">
        <f>+G56/G57</f>
        <v>5.3104150634454048E-2</v>
      </c>
      <c r="H58" s="103">
        <f>+H56/H57</f>
        <v>5.1803230479616394E-2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4564.1327019801392</v>
      </c>
      <c r="N63" s="76">
        <f>E55</f>
        <v>4636.1720668495882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251.82014399999994</v>
      </c>
      <c r="N64" s="76">
        <f>E56</f>
        <v>269.24035063335111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82" t="s">
        <v>126</v>
      </c>
      <c r="E76" s="382"/>
      <c r="F76" s="105" t="s">
        <v>74</v>
      </c>
      <c r="G76" s="385" t="s">
        <v>127</v>
      </c>
      <c r="H76" s="386"/>
      <c r="I76" s="225" t="s">
        <v>74</v>
      </c>
      <c r="J76" s="19"/>
      <c r="K76" s="57"/>
      <c r="L76" s="57"/>
      <c r="M76" s="55" t="s">
        <v>96</v>
      </c>
      <c r="N76" s="70">
        <f>D78</f>
        <v>14.607522837499998</v>
      </c>
      <c r="O76" s="70">
        <f>E78</f>
        <v>62.783145689999984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7" t="s">
        <v>95</v>
      </c>
      <c r="D77" s="348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4652.9217431625011</v>
      </c>
      <c r="O77" s="70">
        <f>E79</f>
        <v>4684.0711356813945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14.607522837499998</v>
      </c>
      <c r="E78" s="345">
        <v>62.783145689999984</v>
      </c>
      <c r="F78" s="156">
        <f>((E78/D78)-1)</f>
        <v>3.2980008580801234</v>
      </c>
      <c r="G78" s="233">
        <v>19.7478787025</v>
      </c>
      <c r="H78" s="345">
        <v>180.33732364249997</v>
      </c>
      <c r="I78" s="156">
        <f>((H78/G78)-1)</f>
        <v>8.1319845720781139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4652.9217431625011</v>
      </c>
      <c r="E79" s="323">
        <f>'Resumen (G)'!F40-E78</f>
        <v>4684.0711356813945</v>
      </c>
      <c r="F79" s="160">
        <f>((E79/D79)-1)</f>
        <v>6.6945876673440985E-3</v>
      </c>
      <c r="G79" s="234">
        <f>'Resumen (G)'!H40-G78</f>
        <v>22863.830266297497</v>
      </c>
      <c r="H79" s="323">
        <f>'Resumen (G)'!I40-H78</f>
        <v>23355.046836003898</v>
      </c>
      <c r="I79" s="160">
        <f>((H79/G79)-1)</f>
        <v>2.1484439133126365E-2</v>
      </c>
      <c r="J79" s="19"/>
      <c r="K79" s="57"/>
      <c r="L79" s="57"/>
      <c r="M79" s="70"/>
      <c r="N79" s="70"/>
      <c r="O79" s="70"/>
    </row>
    <row r="80" spans="2:28" ht="14.25" thickTop="1" thickBot="1">
      <c r="C80" s="125" t="s">
        <v>94</v>
      </c>
      <c r="D80" s="229">
        <f>SUM(D78:D79)</f>
        <v>4667.5292660000014</v>
      </c>
      <c r="E80" s="324">
        <f>SUM(E78:E79)</f>
        <v>4746.8542813713948</v>
      </c>
      <c r="F80" s="126"/>
      <c r="G80" s="253">
        <f>SUM(G78:G79)</f>
        <v>22883.578144999996</v>
      </c>
      <c r="H80" s="324">
        <f>SUM(H78:H79)</f>
        <v>23535.384159646397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19" zoomScale="90" zoomScaleNormal="100" zoomScaleSheetLayoutView="9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4" t="s">
        <v>126</v>
      </c>
      <c r="E8" s="395"/>
      <c r="F8" s="383" t="s">
        <v>74</v>
      </c>
      <c r="G8" s="385" t="s">
        <v>127</v>
      </c>
      <c r="H8" s="386"/>
      <c r="I8" s="383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4"/>
      <c r="G9" s="340">
        <v>2021</v>
      </c>
      <c r="H9" s="95">
        <v>2022</v>
      </c>
      <c r="I9" s="384"/>
      <c r="J9" s="26"/>
    </row>
    <row r="10" spans="2:13">
      <c r="C10" s="193" t="s">
        <v>10</v>
      </c>
      <c r="D10" s="194">
        <f>'Por Región (G)'!O8</f>
        <v>341.14384100000001</v>
      </c>
      <c r="E10" s="195">
        <f>'Por Región (G)'!P8</f>
        <v>417.01938205127959</v>
      </c>
      <c r="F10" s="196">
        <f>+E10/D10-1</f>
        <v>0.22241509865417619</v>
      </c>
      <c r="G10" s="335">
        <f>'Por Región (G)'!Q8</f>
        <v>1603.7378459999998</v>
      </c>
      <c r="H10" s="195">
        <f>'Por Región (G)'!R8</f>
        <v>1718.6284606387794</v>
      </c>
      <c r="I10" s="196">
        <f>+H10/G10-1</f>
        <v>7.1639273791122893E-2</v>
      </c>
      <c r="J10" s="26"/>
      <c r="L10" s="142" t="s">
        <v>9</v>
      </c>
      <c r="M10" s="230">
        <f>E11</f>
        <v>3903.5115557408253</v>
      </c>
    </row>
    <row r="11" spans="2:13">
      <c r="C11" s="197" t="s">
        <v>9</v>
      </c>
      <c r="D11" s="198">
        <f>'Por Región (G)'!O9</f>
        <v>3820.7386000000001</v>
      </c>
      <c r="E11" s="199">
        <f>'Por Región (G)'!P9</f>
        <v>3903.5115557408253</v>
      </c>
      <c r="F11" s="200">
        <f>+E11/D11-1</f>
        <v>2.1664124245721839E-2</v>
      </c>
      <c r="G11" s="336">
        <f>'Por Región (G)'!Q9</f>
        <v>18719.895240000002</v>
      </c>
      <c r="H11" s="199">
        <f>'Por Región (G)'!R9</f>
        <v>19375.472769982669</v>
      </c>
      <c r="I11" s="200">
        <f>+H11/G11-1</f>
        <v>3.5020363179268932E-2</v>
      </c>
      <c r="J11" s="26"/>
      <c r="L11" s="142" t="s">
        <v>12</v>
      </c>
      <c r="M11" s="230">
        <f>E12</f>
        <v>551.24905302416676</v>
      </c>
    </row>
    <row r="12" spans="2:13">
      <c r="C12" s="197" t="s">
        <v>12</v>
      </c>
      <c r="D12" s="198">
        <f>'Por Región (G)'!O10</f>
        <v>620.21853199999998</v>
      </c>
      <c r="E12" s="199">
        <f>'Por Región (G)'!P10</f>
        <v>551.24905302416676</v>
      </c>
      <c r="F12" s="200">
        <f>+E12/D12-1</f>
        <v>-0.11120189968111627</v>
      </c>
      <c r="G12" s="336">
        <f>'Por Región (G)'!Q10</f>
        <v>3203.0008699999998</v>
      </c>
      <c r="H12" s="199">
        <f>'Por Región (G)'!R10</f>
        <v>3094.4339034091672</v>
      </c>
      <c r="I12" s="200">
        <f>+H12/G12-1</f>
        <v>-3.389539091534266E-2</v>
      </c>
      <c r="J12" s="26"/>
      <c r="L12" s="142" t="s">
        <v>10</v>
      </c>
      <c r="M12" s="230">
        <f>E10</f>
        <v>417.01938205127959</v>
      </c>
    </row>
    <row r="13" spans="2:13">
      <c r="C13" s="201" t="s">
        <v>11</v>
      </c>
      <c r="D13" s="202">
        <f>'Por Región (G)'!O11</f>
        <v>33.851871999999993</v>
      </c>
      <c r="E13" s="203">
        <f>'Por Región (G)'!P11</f>
        <v>33.632426666666667</v>
      </c>
      <c r="F13" s="204">
        <f>+E13/D13-1</f>
        <v>-6.4825169294426832E-3</v>
      </c>
      <c r="G13" s="337">
        <f>'Por Región (G)'!Q11</f>
        <v>166.40195</v>
      </c>
      <c r="H13" s="203">
        <f>'Por Región (G)'!R11</f>
        <v>171.21619666666666</v>
      </c>
      <c r="I13" s="204">
        <f>+H13/G13-1</f>
        <v>2.8931431793117079E-2</v>
      </c>
      <c r="J13" s="26"/>
      <c r="L13" s="142" t="s">
        <v>11</v>
      </c>
      <c r="M13" s="230">
        <f>E13</f>
        <v>33.632426666666667</v>
      </c>
    </row>
    <row r="14" spans="2:13" ht="13.5" thickBot="1">
      <c r="C14" s="207" t="s">
        <v>108</v>
      </c>
      <c r="D14" s="208">
        <f>SUM(D10:D13)</f>
        <v>4815.9528449999998</v>
      </c>
      <c r="E14" s="209">
        <f>SUM(E10:E13)</f>
        <v>4905.4124174829385</v>
      </c>
      <c r="F14" s="210">
        <f>+E14/D14-1</f>
        <v>1.8575674505579398E-2</v>
      </c>
      <c r="G14" s="338">
        <f>SUM(G10:G13)</f>
        <v>23693.035906000001</v>
      </c>
      <c r="H14" s="209">
        <f>SUM(H10:H13)</f>
        <v>24359.751330697283</v>
      </c>
      <c r="I14" s="210">
        <f>+H14/G14-1</f>
        <v>2.8139721196659417E-2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1" t="s">
        <v>93</v>
      </c>
      <c r="D18" s="391"/>
      <c r="E18" s="391"/>
      <c r="F18" s="391"/>
      <c r="G18" s="392" t="s">
        <v>107</v>
      </c>
      <c r="H18" s="393"/>
      <c r="I18" s="393"/>
      <c r="J18" s="393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5">
      <c r="C49" s="25"/>
      <c r="D49" s="19"/>
      <c r="E49" s="19"/>
      <c r="F49" s="19"/>
      <c r="G49" s="19"/>
      <c r="H49" s="19"/>
      <c r="I49" s="19"/>
      <c r="J49" s="19"/>
    </row>
    <row r="50" spans="3:15">
      <c r="C50" s="25"/>
      <c r="D50" s="19"/>
      <c r="E50" s="19"/>
      <c r="F50" s="19"/>
      <c r="G50" s="19"/>
      <c r="H50" s="19"/>
      <c r="I50" s="19"/>
      <c r="J50" s="19"/>
    </row>
    <row r="51" spans="3:15">
      <c r="C51" s="25"/>
      <c r="D51" s="19"/>
      <c r="E51" s="19"/>
      <c r="F51" s="19"/>
      <c r="G51" s="19"/>
      <c r="H51" s="19"/>
      <c r="I51" s="19"/>
      <c r="J51" s="19"/>
    </row>
    <row r="52" spans="3:15">
      <c r="C52" s="25"/>
      <c r="D52" s="19"/>
      <c r="E52" s="19"/>
      <c r="F52" s="19"/>
      <c r="G52" s="19"/>
      <c r="H52" s="19"/>
      <c r="I52" s="37"/>
      <c r="J52" s="19"/>
    </row>
    <row r="53" spans="3:15" ht="13.5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5">
      <c r="C54" s="387" t="s">
        <v>13</v>
      </c>
      <c r="D54" s="389" t="s">
        <v>131</v>
      </c>
      <c r="E54" s="390"/>
      <c r="F54" s="390"/>
      <c r="G54" s="390"/>
      <c r="H54" s="390"/>
      <c r="I54" s="19"/>
      <c r="J54" s="19"/>
    </row>
    <row r="55" spans="3:15">
      <c r="C55" s="388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5">
      <c r="C56" s="212" t="s">
        <v>10</v>
      </c>
      <c r="D56" s="331">
        <f>'Resumen (G)'!F14-'PorZona (G)'!D58</f>
        <v>105.42003633000002</v>
      </c>
      <c r="E56" s="216">
        <v>151.67020563465292</v>
      </c>
      <c r="F56" s="216">
        <v>0</v>
      </c>
      <c r="G56" s="216">
        <v>159.92914008662666</v>
      </c>
      <c r="H56" s="216">
        <f>SUM(D56:G56)</f>
        <v>417.01938205127959</v>
      </c>
      <c r="I56" s="326"/>
      <c r="K56" s="303"/>
      <c r="L56" s="316"/>
      <c r="M56" s="316"/>
      <c r="O56" s="316"/>
    </row>
    <row r="57" spans="3:15">
      <c r="C57" s="213" t="s">
        <v>9</v>
      </c>
      <c r="D57" s="332">
        <v>0</v>
      </c>
      <c r="E57" s="217">
        <v>2233.9267695283916</v>
      </c>
      <c r="F57" s="333">
        <v>6.4619999999999999E-3</v>
      </c>
      <c r="G57" s="217">
        <v>1669.5783242124339</v>
      </c>
      <c r="H57" s="217">
        <f>SUM(D57:G57)</f>
        <v>3903.5115557408253</v>
      </c>
      <c r="I57" s="326"/>
      <c r="K57" s="303"/>
      <c r="L57" s="316"/>
      <c r="M57" s="316"/>
      <c r="O57" s="316"/>
    </row>
    <row r="58" spans="3:15">
      <c r="C58" s="213" t="s">
        <v>12</v>
      </c>
      <c r="D58" s="332">
        <v>66.445447559999991</v>
      </c>
      <c r="E58" s="217">
        <v>352.6533083935056</v>
      </c>
      <c r="F58" s="217">
        <f>'Resumen (G)'!D15</f>
        <v>62.21943537249998</v>
      </c>
      <c r="G58" s="217">
        <v>69.930861698161209</v>
      </c>
      <c r="H58" s="217">
        <f>SUM(D58:G58)</f>
        <v>551.24905302416676</v>
      </c>
      <c r="I58" s="326"/>
      <c r="K58" s="303"/>
      <c r="L58" s="316"/>
      <c r="M58" s="316"/>
      <c r="O58" s="316"/>
    </row>
    <row r="59" spans="3:15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33.632426666666667</v>
      </c>
      <c r="H59" s="218">
        <f>SUM(D59:G59)</f>
        <v>33.632426666666667</v>
      </c>
      <c r="I59" s="326"/>
      <c r="K59" s="19"/>
      <c r="L59" s="316"/>
      <c r="M59" s="316"/>
    </row>
    <row r="60" spans="3:15" ht="13.5" thickBot="1">
      <c r="C60" s="114" t="s">
        <v>108</v>
      </c>
      <c r="D60" s="219">
        <f>SUM(D56:D59)</f>
        <v>171.86548389000001</v>
      </c>
      <c r="E60" s="220">
        <f>SUM(E56:E59)</f>
        <v>2738.2502835565501</v>
      </c>
      <c r="F60" s="220">
        <f>SUM(F56:F59)</f>
        <v>62.225897372499979</v>
      </c>
      <c r="G60" s="220">
        <f>SUM(G56:G59)</f>
        <v>1933.0707526638882</v>
      </c>
      <c r="H60" s="220">
        <f>SUM(H56:H59)</f>
        <v>4905.4124174829385</v>
      </c>
      <c r="I60" s="19"/>
      <c r="J60" s="19"/>
    </row>
    <row r="61" spans="3:15" ht="6.75" customHeight="1">
      <c r="C61" s="19"/>
      <c r="D61" s="19"/>
      <c r="E61" s="19"/>
      <c r="F61" s="19"/>
      <c r="G61" s="19"/>
      <c r="H61" s="19"/>
      <c r="I61" s="19"/>
      <c r="J61" s="19"/>
    </row>
    <row r="62" spans="3:15">
      <c r="C62" s="19"/>
      <c r="D62" s="19"/>
      <c r="E62" s="19"/>
      <c r="F62" s="19"/>
      <c r="G62" s="19"/>
      <c r="H62" s="19"/>
      <c r="I62" s="19"/>
      <c r="J62" s="19"/>
    </row>
    <row r="63" spans="3:15">
      <c r="C63" s="19"/>
      <c r="D63" s="19"/>
      <c r="E63" s="19"/>
      <c r="F63" s="19"/>
      <c r="G63" s="19"/>
      <c r="H63" s="19"/>
      <c r="I63" s="19"/>
      <c r="J63" s="19"/>
    </row>
    <row r="64" spans="3:15">
      <c r="E64" s="329"/>
      <c r="H64" s="121"/>
    </row>
    <row r="65" spans="5:5">
      <c r="E65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90" zoomScaleNormal="100" zoomScaleSheetLayoutView="9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7" t="s">
        <v>60</v>
      </c>
      <c r="D6" s="394" t="s">
        <v>126</v>
      </c>
      <c r="E6" s="395"/>
      <c r="F6" s="383" t="s">
        <v>74</v>
      </c>
      <c r="G6" s="385" t="s">
        <v>127</v>
      </c>
      <c r="H6" s="386"/>
      <c r="I6" s="383" t="s">
        <v>74</v>
      </c>
      <c r="O6" s="47"/>
      <c r="P6" s="86"/>
      <c r="Q6" s="396" t="s">
        <v>116</v>
      </c>
      <c r="R6" s="396"/>
    </row>
    <row r="7" spans="3:19" ht="12.75" customHeight="1">
      <c r="C7" s="108"/>
      <c r="D7" s="109">
        <v>2021</v>
      </c>
      <c r="E7" s="95">
        <v>2022</v>
      </c>
      <c r="F7" s="384"/>
      <c r="G7" s="236">
        <v>2021</v>
      </c>
      <c r="H7" s="95">
        <v>2022</v>
      </c>
      <c r="I7" s="384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57">
        <v>4.3952450000000001</v>
      </c>
      <c r="E8" s="358">
        <v>3.6704369999999997</v>
      </c>
      <c r="F8" s="222">
        <f>+E8/D8-1</f>
        <v>-0.16490730323338065</v>
      </c>
      <c r="G8" s="353">
        <v>18.000367999999998</v>
      </c>
      <c r="H8" s="344">
        <v>19.558910999999998</v>
      </c>
      <c r="I8" s="222">
        <f>+H8/G8-1</f>
        <v>8.6583952061424441E-2</v>
      </c>
      <c r="J8" s="26"/>
      <c r="K8" s="46"/>
      <c r="L8" s="46"/>
      <c r="N8" s="57" t="s">
        <v>10</v>
      </c>
      <c r="O8" s="71">
        <f>SUM(D8,D13,D20,D21,D27,D29,D31)</f>
        <v>341.14384100000001</v>
      </c>
      <c r="P8" s="71">
        <f t="shared" ref="P8" si="0">SUM(E8,E13,E20,E21,E27,E29,E31)</f>
        <v>417.01938205127959</v>
      </c>
      <c r="Q8" s="71">
        <f>SUM(G8,G13,G20,G21,G27,G29,G31)</f>
        <v>1603.7378459999998</v>
      </c>
      <c r="R8" s="71">
        <f>SUM(H8,H13,H20,H21,H27,H29,H31)</f>
        <v>1718.6284606387794</v>
      </c>
    </row>
    <row r="9" spans="3:19" ht="20.100000000000001" customHeight="1">
      <c r="C9" s="117" t="s">
        <v>18</v>
      </c>
      <c r="D9" s="221">
        <v>199.83963299999999</v>
      </c>
      <c r="E9" s="281">
        <v>197.45662561249998</v>
      </c>
      <c r="F9" s="223">
        <f t="shared" ref="F9:F32" si="1">+E9/D9-1</f>
        <v>-1.19245984979367E-2</v>
      </c>
      <c r="G9" s="237">
        <v>1250.8920209999997</v>
      </c>
      <c r="H9" s="281">
        <v>1225.7270287725</v>
      </c>
      <c r="I9" s="292">
        <f t="shared" ref="I9:I32" si="2">+H9/G9-1</f>
        <v>-2.011763749790485E-2</v>
      </c>
      <c r="J9" s="26"/>
      <c r="K9" s="46"/>
      <c r="L9" s="46"/>
      <c r="N9" s="57" t="s">
        <v>9</v>
      </c>
      <c r="O9" s="313">
        <f>SUM(D9,D14,D16,D17,D19,D22,D26,D32)</f>
        <v>3820.7386000000001</v>
      </c>
      <c r="P9" s="313">
        <f>SUM(E9,E14,E16,E17,E19,E22,E26,E32)</f>
        <v>3903.5115557408253</v>
      </c>
      <c r="Q9" s="313">
        <f>SUM(G9,G14,G16,G17,G19,G22,G26,G32)</f>
        <v>18719.895240000002</v>
      </c>
      <c r="R9" s="313">
        <f>SUM(H9,H14,H16,H17,H19,H22,H26,H32)</f>
        <v>19375.472769982669</v>
      </c>
    </row>
    <row r="10" spans="3:19" ht="20.100000000000001" customHeight="1">
      <c r="C10" s="118" t="s">
        <v>19</v>
      </c>
      <c r="D10" s="342">
        <v>4.2637320000000001</v>
      </c>
      <c r="E10" s="308">
        <v>4.6065439999999995</v>
      </c>
      <c r="F10" s="223">
        <f t="shared" si="1"/>
        <v>8.0401863907018312E-2</v>
      </c>
      <c r="G10" s="237">
        <v>22.456809999999997</v>
      </c>
      <c r="H10" s="281">
        <v>23.032720000000001</v>
      </c>
      <c r="I10" s="223">
        <f t="shared" si="2"/>
        <v>2.5645227438803708E-2</v>
      </c>
      <c r="J10" s="26"/>
      <c r="K10" s="46"/>
      <c r="L10" s="46"/>
      <c r="N10" s="54" t="s">
        <v>12</v>
      </c>
      <c r="O10" s="313">
        <f>SUM(D10,D11,D12,D15,D18,D24,D25,D28,D30)</f>
        <v>620.21853199999998</v>
      </c>
      <c r="P10" s="313">
        <f t="shared" ref="P10" si="3">SUM(E10,E11,E12,E15,E18,E24,E25,E28,E30)</f>
        <v>551.24905302416676</v>
      </c>
      <c r="Q10" s="313">
        <f>SUM(G10,G11,G12,G15,G18,G24,G25,G28,G30)</f>
        <v>3203.0008699999998</v>
      </c>
      <c r="R10" s="313">
        <f>SUM(H10,H11,H12,H15,H18,H24,H25,H28,H30)</f>
        <v>3094.4339034091672</v>
      </c>
    </row>
    <row r="11" spans="3:19" ht="20.100000000000001" customHeight="1">
      <c r="C11" s="117" t="s">
        <v>20</v>
      </c>
      <c r="D11" s="342">
        <v>91.378674000000018</v>
      </c>
      <c r="E11" s="308">
        <v>91.499591222500044</v>
      </c>
      <c r="F11" s="339">
        <f t="shared" si="1"/>
        <v>1.3232542912586798E-3</v>
      </c>
      <c r="G11" s="237">
        <v>536.78825100000006</v>
      </c>
      <c r="H11" s="281">
        <v>477.21654324250017</v>
      </c>
      <c r="I11" s="223">
        <f t="shared" si="2"/>
        <v>-0.11097803956499019</v>
      </c>
      <c r="J11" s="26"/>
      <c r="K11" s="46"/>
      <c r="L11" s="46"/>
      <c r="N11" s="314" t="s">
        <v>11</v>
      </c>
      <c r="O11" s="71">
        <f>D23</f>
        <v>33.851871999999993</v>
      </c>
      <c r="P11" s="71">
        <f t="shared" ref="P11" si="4">E23</f>
        <v>33.632426666666667</v>
      </c>
      <c r="Q11" s="71">
        <f>G23</f>
        <v>166.40195</v>
      </c>
      <c r="R11" s="71">
        <f>H23</f>
        <v>171.21619666666666</v>
      </c>
    </row>
    <row r="12" spans="3:19" ht="20.100000000000001" customHeight="1">
      <c r="C12" s="117" t="s">
        <v>21</v>
      </c>
      <c r="D12" s="342">
        <v>0.6737280000000001</v>
      </c>
      <c r="E12" s="308">
        <v>0.9254332500000001</v>
      </c>
      <c r="F12" s="223">
        <f t="shared" si="1"/>
        <v>0.37360069642348237</v>
      </c>
      <c r="G12" s="341">
        <v>4.6995170000000011</v>
      </c>
      <c r="H12" s="308">
        <v>4.6271662500000001</v>
      </c>
      <c r="I12" s="223">
        <f t="shared" si="2"/>
        <v>-1.5395358714523355E-2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135.913352</v>
      </c>
      <c r="E13" s="281">
        <v>145.36364723999998</v>
      </c>
      <c r="F13" s="223">
        <f t="shared" si="1"/>
        <v>6.9531764914458005E-2</v>
      </c>
      <c r="G13" s="237">
        <v>666.72835899999995</v>
      </c>
      <c r="H13" s="281">
        <v>713.69967147749992</v>
      </c>
      <c r="I13" s="223">
        <f t="shared" si="2"/>
        <v>7.0450449337343901E-2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303.41344299999997</v>
      </c>
      <c r="E14" s="281">
        <v>319.94331051166671</v>
      </c>
      <c r="F14" s="223">
        <f t="shared" si="1"/>
        <v>5.4479680755828319E-2</v>
      </c>
      <c r="G14" s="237">
        <v>920.89935100000002</v>
      </c>
      <c r="H14" s="281">
        <v>1126.5877777616665</v>
      </c>
      <c r="I14" s="223">
        <f t="shared" si="2"/>
        <v>0.22335603400991699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200.17169199999995</v>
      </c>
      <c r="E15" s="281">
        <v>200.13147297166674</v>
      </c>
      <c r="F15" s="223">
        <f t="shared" si="1"/>
        <v>-2.0092265760141004E-4</v>
      </c>
      <c r="G15" s="237">
        <v>977.811105</v>
      </c>
      <c r="H15" s="281">
        <v>971.40474553666672</v>
      </c>
      <c r="I15" s="339">
        <f t="shared" si="2"/>
        <v>-6.5517352283837038E-3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883.47522900000001</v>
      </c>
      <c r="E16" s="281">
        <v>891.24224358666595</v>
      </c>
      <c r="F16" s="223">
        <f t="shared" si="1"/>
        <v>8.7914344757094032E-3</v>
      </c>
      <c r="G16" s="237">
        <v>4685.2902029999996</v>
      </c>
      <c r="H16" s="281">
        <v>4524.8375182066657</v>
      </c>
      <c r="I16" s="292">
        <f t="shared" si="2"/>
        <v>-3.4246050477427348E-2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172.291448</v>
      </c>
      <c r="E17" s="281">
        <v>189.44061480083337</v>
      </c>
      <c r="F17" s="223">
        <f t="shared" si="1"/>
        <v>9.9535798206498161E-2</v>
      </c>
      <c r="G17" s="237">
        <v>1433.1587260000003</v>
      </c>
      <c r="H17" s="281">
        <v>1372.9200862383332</v>
      </c>
      <c r="I17" s="292">
        <f t="shared" si="2"/>
        <v>-4.2032078281932894E-2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151.11831899999999</v>
      </c>
      <c r="E18" s="281">
        <v>104.11272517249999</v>
      </c>
      <c r="F18" s="223">
        <f t="shared" si="1"/>
        <v>-0.31105159280854622</v>
      </c>
      <c r="G18" s="237">
        <v>709.41701099999989</v>
      </c>
      <c r="H18" s="281">
        <v>699.60699210999996</v>
      </c>
      <c r="I18" s="223">
        <f t="shared" si="2"/>
        <v>-1.382828257271651E-2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282.07527499999998</v>
      </c>
      <c r="E19" s="281">
        <v>298.52652559666683</v>
      </c>
      <c r="F19" s="223">
        <f t="shared" si="1"/>
        <v>5.8322199975403111E-2</v>
      </c>
      <c r="G19" s="237">
        <v>1517.3034129999999</v>
      </c>
      <c r="H19" s="281">
        <v>1639.0433086466671</v>
      </c>
      <c r="I19" s="292">
        <f t="shared" si="2"/>
        <v>8.0234378044378163E-2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48.434258999999997</v>
      </c>
      <c r="E20" s="281">
        <v>101.82241414000002</v>
      </c>
      <c r="F20" s="292">
        <f t="shared" si="1"/>
        <v>1.1022808285350258</v>
      </c>
      <c r="G20" s="237">
        <v>277.24555700000002</v>
      </c>
      <c r="H20" s="281">
        <v>317.98187189000004</v>
      </c>
      <c r="I20" s="223">
        <f t="shared" si="2"/>
        <v>0.14693225504061003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342">
        <v>5.0374010000000009</v>
      </c>
      <c r="E21" s="308">
        <v>4.8065555783333336</v>
      </c>
      <c r="F21" s="223">
        <f t="shared" si="1"/>
        <v>-4.5826294485324381E-2</v>
      </c>
      <c r="G21" s="237">
        <v>25.783224999999998</v>
      </c>
      <c r="H21" s="281">
        <v>25.263377243333338</v>
      </c>
      <c r="I21" s="223">
        <f t="shared" si="2"/>
        <v>-2.0162247223404428E-2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1892.5399830000003</v>
      </c>
      <c r="E22" s="281">
        <v>1923.8288680808253</v>
      </c>
      <c r="F22" s="223">
        <f t="shared" si="1"/>
        <v>1.6532747187315344E-2</v>
      </c>
      <c r="G22" s="237">
        <v>8405.1384490000019</v>
      </c>
      <c r="H22" s="281">
        <v>8998.8881759501692</v>
      </c>
      <c r="I22" s="223">
        <f t="shared" si="2"/>
        <v>7.0641278612229019E-2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33.851871999999993</v>
      </c>
      <c r="E23" s="281">
        <v>33.632426666666667</v>
      </c>
      <c r="F23" s="223">
        <f t="shared" si="1"/>
        <v>-6.4825169294426832E-3</v>
      </c>
      <c r="G23" s="237">
        <v>166.40195</v>
      </c>
      <c r="H23" s="281">
        <v>171.21619666666666</v>
      </c>
      <c r="I23" s="223">
        <f t="shared" si="2"/>
        <v>2.8931431793117079E-2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97">
        <v>0.10625200000000001</v>
      </c>
      <c r="E24" s="398">
        <v>9.9040333333333327E-2</v>
      </c>
      <c r="F24" s="223">
        <f t="shared" si="1"/>
        <v>-6.7873232190139299E-2</v>
      </c>
      <c r="G24" s="341">
        <v>0.5961749999999999</v>
      </c>
      <c r="H24" s="308">
        <v>0.61520042833333333</v>
      </c>
      <c r="I24" s="292">
        <f t="shared" si="2"/>
        <v>3.1912489341776151E-2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59.183748000000008</v>
      </c>
      <c r="E25" s="281">
        <v>52.749426234999973</v>
      </c>
      <c r="F25" s="223">
        <f t="shared" si="1"/>
        <v>-0.10871771360272819</v>
      </c>
      <c r="G25" s="237">
        <v>300.63390700000002</v>
      </c>
      <c r="H25" s="281">
        <v>283.65601214749995</v>
      </c>
      <c r="I25" s="223">
        <f t="shared" si="2"/>
        <v>-5.6473652695802068E-2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68.260163999999989</v>
      </c>
      <c r="E26" s="281">
        <v>71.808345680000016</v>
      </c>
      <c r="F26" s="223">
        <f t="shared" si="1"/>
        <v>5.1980268901786308E-2</v>
      </c>
      <c r="G26" s="237">
        <v>449.95745799999997</v>
      </c>
      <c r="H26" s="281">
        <v>439.26248302250008</v>
      </c>
      <c r="I26" s="223">
        <f t="shared" si="2"/>
        <v>-2.3768858116137492E-2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142.497872</v>
      </c>
      <c r="E27" s="281">
        <v>155.31510030416672</v>
      </c>
      <c r="F27" s="223">
        <f t="shared" si="1"/>
        <v>8.9946804989247342E-2</v>
      </c>
      <c r="G27" s="237">
        <v>588.35740399999997</v>
      </c>
      <c r="H27" s="281">
        <v>613.4378862391668</v>
      </c>
      <c r="I27" s="223">
        <f t="shared" si="2"/>
        <v>4.262797080253411E-2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100.61625100000001</v>
      </c>
      <c r="E28" s="281">
        <v>84.241808269166697</v>
      </c>
      <c r="F28" s="223">
        <f t="shared" si="1"/>
        <v>-0.16274153099615396</v>
      </c>
      <c r="G28" s="237">
        <v>582.41627300000005</v>
      </c>
      <c r="H28" s="281">
        <v>568.20337140916672</v>
      </c>
      <c r="I28" s="339">
        <f t="shared" si="2"/>
        <v>-2.4403338728197443E-2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3.7651640000000004</v>
      </c>
      <c r="E29" s="281">
        <v>4.940679788779522</v>
      </c>
      <c r="F29" s="223">
        <f t="shared" si="1"/>
        <v>0.3122083895361587</v>
      </c>
      <c r="G29" s="237">
        <v>22.120193</v>
      </c>
      <c r="H29" s="281">
        <v>23.184002788779519</v>
      </c>
      <c r="I29" s="292">
        <f t="shared" si="2"/>
        <v>4.8092247150805623E-2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12.706135999999999</v>
      </c>
      <c r="E30" s="281">
        <v>12.883011569999994</v>
      </c>
      <c r="F30" s="292">
        <f t="shared" si="1"/>
        <v>1.39204845595855E-2</v>
      </c>
      <c r="G30" s="237">
        <v>68.181820999999999</v>
      </c>
      <c r="H30" s="281">
        <v>66.071152284999982</v>
      </c>
      <c r="I30" s="223">
        <f t="shared" si="2"/>
        <v>-3.0956473207132684E-2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1.1005480000000001</v>
      </c>
      <c r="E31" s="281">
        <v>1.1005480000000001</v>
      </c>
      <c r="F31" s="292">
        <f>+E31/D31-1</f>
        <v>0</v>
      </c>
      <c r="G31" s="237">
        <v>5.5027400000000002</v>
      </c>
      <c r="H31" s="281">
        <v>5.5027400000000002</v>
      </c>
      <c r="I31" s="223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18.843425</v>
      </c>
      <c r="E32" s="282">
        <v>11.265021871666669</v>
      </c>
      <c r="F32" s="224">
        <f t="shared" si="1"/>
        <v>-0.40217758333919296</v>
      </c>
      <c r="G32" s="238">
        <v>57.255619000000003</v>
      </c>
      <c r="H32" s="282">
        <v>48.206391384166665</v>
      </c>
      <c r="I32" s="224">
        <f t="shared" si="2"/>
        <v>-0.15804959886702719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4815.9528450000016</v>
      </c>
      <c r="E33" s="283">
        <f>SUM(E8:E32)</f>
        <v>4905.4124174829394</v>
      </c>
      <c r="F33" s="115">
        <f>+E33/D33-1</f>
        <v>1.8575674505579176E-2</v>
      </c>
      <c r="G33" s="239">
        <f>SUM(G8:G32)</f>
        <v>23693.035905999994</v>
      </c>
      <c r="H33" s="283">
        <f>SUM(H8:H32)</f>
        <v>24359.751330697287</v>
      </c>
      <c r="I33" s="240">
        <f>+H33/G33-1</f>
        <v>2.8139721196659861E-2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1923.8288680808253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891.24224358666595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319.94331051166671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298.52652559666683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200.13147297166674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18</v>
      </c>
      <c r="O49" s="53">
        <v>197.45662561249998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25</v>
      </c>
      <c r="O50" s="52">
        <v>189.44061480083337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35</v>
      </c>
      <c r="O51" s="53">
        <v>155.31510030416672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22</v>
      </c>
      <c r="O52" s="53">
        <v>145.36364723999998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104.11272517249999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101.82241414000002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91.499591222500044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84.241808269166697</v>
      </c>
      <c r="P56" s="8"/>
      <c r="S56" s="91"/>
    </row>
    <row r="57" spans="3:19">
      <c r="N57" s="51" t="s">
        <v>34</v>
      </c>
      <c r="O57" s="52">
        <v>71.808345680000016</v>
      </c>
      <c r="S57" s="91"/>
    </row>
    <row r="58" spans="3:19">
      <c r="N58" s="51" t="s">
        <v>33</v>
      </c>
      <c r="O58" s="52">
        <v>52.749426234999973</v>
      </c>
      <c r="S58" s="91"/>
    </row>
    <row r="59" spans="3:19">
      <c r="N59" s="51" t="s">
        <v>31</v>
      </c>
      <c r="O59" s="52">
        <v>33.632426666666667</v>
      </c>
      <c r="S59" s="91"/>
    </row>
    <row r="60" spans="3:19">
      <c r="N60" s="51" t="s">
        <v>38</v>
      </c>
      <c r="O60" s="52">
        <v>12.883011569999994</v>
      </c>
      <c r="S60" s="91"/>
    </row>
    <row r="61" spans="3:19">
      <c r="N61" s="51" t="s">
        <v>40</v>
      </c>
      <c r="O61" s="52">
        <v>11.265021871666669</v>
      </c>
      <c r="S61" s="91"/>
    </row>
    <row r="62" spans="3:19">
      <c r="N62" s="51" t="s">
        <v>37</v>
      </c>
      <c r="O62" s="52">
        <v>4.940679788779522</v>
      </c>
      <c r="S62" s="91"/>
    </row>
    <row r="63" spans="3:19">
      <c r="N63" s="50" t="s">
        <v>29</v>
      </c>
      <c r="O63" s="53">
        <v>4.8065555783333336</v>
      </c>
      <c r="S63" s="91"/>
    </row>
    <row r="64" spans="3:19">
      <c r="N64" s="50" t="s">
        <v>19</v>
      </c>
      <c r="O64" s="53">
        <v>4.6065439999999995</v>
      </c>
      <c r="S64" s="91"/>
    </row>
    <row r="65" spans="6:19">
      <c r="N65" s="50" t="s">
        <v>17</v>
      </c>
      <c r="O65" s="53">
        <v>3.6704369999999997</v>
      </c>
      <c r="S65" s="120"/>
    </row>
    <row r="66" spans="6:19">
      <c r="N66" s="50" t="s">
        <v>39</v>
      </c>
      <c r="O66" s="53">
        <v>1.1005480000000001</v>
      </c>
      <c r="S66" s="91"/>
    </row>
    <row r="67" spans="6:19">
      <c r="N67" s="51" t="s">
        <v>21</v>
      </c>
      <c r="O67" s="52">
        <v>0.9254332500000001</v>
      </c>
      <c r="S67" s="91"/>
    </row>
    <row r="68" spans="6:19">
      <c r="N68" s="9" t="s">
        <v>32</v>
      </c>
      <c r="O68" s="52">
        <v>9.9040333333333327E-2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2022-06-16T21:20:22Z</dcterms:modified>
</cp:coreProperties>
</file>